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8.xml.rels" ContentType="application/vnd.openxmlformats-package.relationships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🏠 Welcome Pro" sheetId="1" state="visible" r:id="rId3"/>
    <sheet name="📊 Income &amp; Profile" sheetId="2" state="visible" r:id="rId4"/>
    <sheet name="💳 Debt &amp; EMIs" sheetId="3" state="visible" r:id="rId5"/>
    <sheet name="🧾 Monthly Budget" sheetId="4" state="visible" r:id="rId6"/>
    <sheet name="🔍 Leak Finder" sheetId="5" state="visible" r:id="rId7"/>
    <sheet name="🛡️ Emergency Fund" sheetId="6" state="visible" r:id="rId8"/>
    <sheet name="🎯 Goals Tracker" sheetId="7" state="visible" r:id="rId9"/>
    <sheet name="📈 SIP Projector Pro" sheetId="8" state="visible" r:id="rId10"/>
    <sheet name="🔮 Retirement Planner Pro" sheetId="9" state="visible" r:id="rId11"/>
    <sheet name="🆚 Tax Regime Selector Pro" sheetId="10" state="visible" r:id="rId12"/>
    <sheet name="💼 Net Worth &amp; Portfolio" sheetId="11" state="visible" r:id="rId13"/>
    <sheet name="🏆 Health Score Pro" sheetId="12" state="visible" r:id="rId14"/>
    <sheet name="📊 Master Dashboard Pro" sheetId="13" state="visible" r:id="rId1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<sst xmlns="http://schemas.openxmlformats.org/spreadsheetml/2006/main" count="340" uniqueCount="316">
  <si>
    <t xml:space="preserve">FirstBuzz365 Financial Health Dashboard – PRO 2026 Edition</t>
  </si>
  <si>
    <t xml:space="preserve">Your Premium Personal Finance Command Centre for Indians</t>
  </si>
  <si>
    <t xml:space="preserve">⭐  What's New in PRO 2026</t>
  </si>
  <si>
    <t xml:space="preserve">✔  Accurate FY 2026-27 Tax Simulator (old + new regime with rebates)</t>
  </si>
  <si>
    <t xml:space="preserve">✔  Inflation-adjusted SIP &amp; Retirement Planner</t>
  </si>
  <si>
    <t xml:space="preserve">✔  Full Investment Portfolio &amp; Net Worth Tracker</t>
  </si>
  <si>
    <t xml:space="preserve">✔  Rich Visual Charts across SIP, Budget, Net Worth &amp; Health Score sheets</t>
  </si>
  <si>
    <t xml:space="preserve">✔  24-month Progress Tracking for Emergency Fund</t>
  </si>
  <si>
    <t xml:space="preserve">✔  Prioritised Action Plan powered by your actual data</t>
  </si>
  <si>
    <t xml:space="preserve">📖  How to Use This Dashboard (10 Steps)</t>
  </si>
  <si>
    <t xml:space="preserve">1. Start on 📊 Income &amp; Profile — fill in your personal and income details (blue cells only).</t>
  </si>
  <si>
    <t xml:space="preserve">2. Move to 💳 Debt &amp; EMIs — enter all loans, credit cards, and EMI details.</t>
  </si>
  <si>
    <t xml:space="preserve">3. Fill 🧾 Monthly Budget — input your budgeted and actual spending categories.</t>
  </si>
  <si>
    <t xml:space="preserve">4. Check 🔍 Leak Finder — enter discretionary spending to see opportunity cost.</t>
  </si>
  <si>
    <t xml:space="preserve">5. Update 🛡️ Emergency Fund — enter essential expenses and current balance.</t>
  </si>
  <si>
    <t xml:space="preserve">6. Set your 🎯 Goals — add up to 10 financial goals with target amounts and dates.</t>
  </si>
  <si>
    <t xml:space="preserve">7. Run 📈 SIP Projector Pro — simulate SIP growth with inflation-adjusted returns.</t>
  </si>
  <si>
    <t xml:space="preserve">8. Use 🔮 Retirement Planner Pro — calculate corpus and monthly SIP needed.</t>
  </si>
  <si>
    <t xml:space="preserve">9. Check 🆚 Tax Regime Selector Pro — find which tax regime saves you more.</t>
  </si>
  <si>
    <t xml:space="preserve">10. Review 🏆 Health Score Pro and 📊 Master Dashboard — your overall picture.</t>
  </si>
  <si>
    <t xml:space="preserve">🎨  Colour Code Legend</t>
  </si>
  <si>
    <t xml:space="preserve">  Light Blue background = Your Input (edit only blue cells)</t>
  </si>
  <si>
    <t xml:space="preserve">  Grey background = Formula / Calculated (do not edit)</t>
  </si>
  <si>
    <t xml:space="preserve">  Green = Healthy / On Track</t>
  </si>
  <si>
    <t xml:space="preserve">  Red = Warning / Needs Attention</t>
  </si>
  <si>
    <t xml:space="preserve">  Yellow = Key Assumption</t>
  </si>
  <si>
    <t xml:space="preserve">  Orange = Pro Insight / Recommendation</t>
  </si>
  <si>
    <t xml:space="preserve">⚠️  Disclaimer</t>
  </si>
  <si>
    <t xml:space="preserve">For educational and planning purposes only. Not financial, investment or tax advice. Consult a SEBI-registered advisor or CA. Calculations depend on user inputs and assumptions. FirstBuzz365 is not liable for decisions made using this tool.</t>
  </si>
  <si>
    <t xml:space="preserve">FirstBuzz365 | Personal Finance PRO 2026 | Educational Use Only</t>
  </si>
  <si>
    <t xml:space="preserve">📊 Income &amp; Profile</t>
  </si>
  <si>
    <t xml:space="preserve">Personal Details</t>
  </si>
  <si>
    <t xml:space="preserve">Full Name</t>
  </si>
  <si>
    <t xml:space="preserve">Rahul Sharma</t>
  </si>
  <si>
    <t xml:space="preserve">City / Location</t>
  </si>
  <si>
    <t xml:space="preserve">Bengaluru</t>
  </si>
  <si>
    <t xml:space="preserve">Age Group</t>
  </si>
  <si>
    <t xml:space="preserve">27-35</t>
  </si>
  <si>
    <t xml:space="preserve">Employment Type</t>
  </si>
  <si>
    <t xml:space="preserve">Salaried</t>
  </si>
  <si>
    <t xml:space="preserve">Financial Year</t>
  </si>
  <si>
    <t xml:space="preserve">FY 2026-27</t>
  </si>
  <si>
    <t xml:space="preserve">Number of Dependents</t>
  </si>
  <si>
    <t xml:space="preserve">Risk Profile</t>
  </si>
  <si>
    <t xml:space="preserve">Moderate</t>
  </si>
  <si>
    <t xml:space="preserve">Monthly Income (₹)</t>
  </si>
  <si>
    <t xml:space="preserve">In-hand Monthly Salary (₹)</t>
  </si>
  <si>
    <t xml:space="preserve">Spouse / Partner Income (₹)</t>
  </si>
  <si>
    <t xml:space="preserve">Freelance / Consulting (avg ₹/month)</t>
  </si>
  <si>
    <t xml:space="preserve">Rental Income (₹/month)</t>
  </si>
  <si>
    <t xml:space="preserve">Other Income (₹/month)</t>
  </si>
  <si>
    <t xml:space="preserve">Total Monthly Income (₹)</t>
  </si>
  <si>
    <t xml:space="preserve">Growth &amp; Assumptions</t>
  </si>
  <si>
    <t xml:space="preserve">Expected Annual Salary Growth (%)</t>
  </si>
  <si>
    <t xml:space="preserve">Annual Inflation Rate (%)</t>
  </si>
  <si>
    <t xml:space="preserve">💡 PRO TIP: Income data flows automatically to all other sheets.</t>
  </si>
  <si>
    <t xml:space="preserve">💳 Debt &amp; EMIs</t>
  </si>
  <si>
    <t xml:space="preserve">Loan Type</t>
  </si>
  <si>
    <t xml:space="preserve">Outstanding Balance (₹)</t>
  </si>
  <si>
    <t xml:space="preserve">Interest Rate (%)</t>
  </si>
  <si>
    <t xml:space="preserve">Monthly EMI (₹)</t>
  </si>
  <si>
    <t xml:space="preserve">Remaining Tenure (months)</t>
  </si>
  <si>
    <t xml:space="preserve">Total Interest Remaining (₹)</t>
  </si>
  <si>
    <t xml:space="preserve">Home Loan</t>
  </si>
  <si>
    <t xml:space="preserve">Personal Loan</t>
  </si>
  <si>
    <t xml:space="preserve">Credit Card</t>
  </si>
  <si>
    <t xml:space="preserve">Education Loan</t>
  </si>
  <si>
    <t xml:space="preserve">Car Loan</t>
  </si>
  <si>
    <t xml:space="preserve">Totals &amp; Analysis</t>
  </si>
  <si>
    <t xml:space="preserve">Total Outstanding Balance (₹)</t>
  </si>
  <si>
    <t xml:space="preserve">Total Monthly EMI (₹)</t>
  </si>
  <si>
    <t xml:space="preserve">EMI-to-Income Ratio (%)</t>
  </si>
  <si>
    <t xml:space="preserve">EMI Health</t>
  </si>
  <si>
    <t xml:space="preserve">🧾 Monthly Budget</t>
  </si>
  <si>
    <t xml:space="preserve">Category</t>
  </si>
  <si>
    <t xml:space="preserve">Budgeted (₹)</t>
  </si>
  <si>
    <t xml:space="preserve">Actual Spent (₹)</t>
  </si>
  <si>
    <t xml:space="preserve">Variance (₹)</t>
  </si>
  <si>
    <t xml:space="preserve">Fixed Expenses</t>
  </si>
  <si>
    <t xml:space="preserve">Rent / Home Loan EMI</t>
  </si>
  <si>
    <t xml:space="preserve">Other EMIs</t>
  </si>
  <si>
    <t xml:space="preserve">Insurance Premiums</t>
  </si>
  <si>
    <t xml:space="preserve">Internet / Mobile</t>
  </si>
  <si>
    <t xml:space="preserve">School Fees</t>
  </si>
  <si>
    <t xml:space="preserve">Utilities (Electricity/Gas)</t>
  </si>
  <si>
    <t xml:space="preserve">Fixed Total</t>
  </si>
  <si>
    <t xml:space="preserve">Variable Expenses</t>
  </si>
  <si>
    <t xml:space="preserve">Groceries / Kirana</t>
  </si>
  <si>
    <t xml:space="preserve">Dining Out / Zomato</t>
  </si>
  <si>
    <t xml:space="preserve">Transport / Fuel</t>
  </si>
  <si>
    <t xml:space="preserve">Shopping / Clothing</t>
  </si>
  <si>
    <t xml:space="preserve">Entertainment / OTT</t>
  </si>
  <si>
    <t xml:space="preserve">Medical / Pharmacy</t>
  </si>
  <si>
    <t xml:space="preserve">Personal Care</t>
  </si>
  <si>
    <t xml:space="preserve">Variable Total</t>
  </si>
  <si>
    <t xml:space="preserve">Savings &amp; Investments</t>
  </si>
  <si>
    <t xml:space="preserve">SIP / Mutual Funds</t>
  </si>
  <si>
    <t xml:space="preserve">PPF / EPF extra</t>
  </si>
  <si>
    <t xml:space="preserve">Emergency Fund contribution</t>
  </si>
  <si>
    <t xml:space="preserve">NPS</t>
  </si>
  <si>
    <t xml:space="preserve">Savings Total</t>
  </si>
  <si>
    <t xml:space="preserve">Monthly Summary</t>
  </si>
  <si>
    <t xml:space="preserve">Total Income (₹)</t>
  </si>
  <si>
    <t xml:space="preserve">Total Outflow (₹)</t>
  </si>
  <si>
    <t xml:space="preserve">Monthly Surplus / Deficit (₹)</t>
  </si>
  <si>
    <t xml:space="preserve">Savings Rate (%)</t>
  </si>
  <si>
    <t xml:space="preserve">🔍 Leak Finder – Discover Your Hidden Monthly Drain</t>
  </si>
  <si>
    <t xml:space="preserve">Monthly Amount (₹)</t>
  </si>
  <si>
    <t xml:space="preserve">Annual Cost (₹)</t>
  </si>
  <si>
    <t xml:space="preserve">SIP Value @ 5yr (₹)</t>
  </si>
  <si>
    <t xml:space="preserve">SIP Value @ 10yr (₹)</t>
  </si>
  <si>
    <t xml:space="preserve">SIP Value @ 20yr (₹)</t>
  </si>
  <si>
    <t xml:space="preserve">SIP Value @ 30yr (₹)</t>
  </si>
  <si>
    <t xml:space="preserve">Zomato / Swiggy food delivery</t>
  </si>
  <si>
    <t xml:space="preserve">Blinkit / Quick Commerce</t>
  </si>
  <si>
    <t xml:space="preserve">OTT Subscriptions (Netflix, Prime, Hotstar etc)</t>
  </si>
  <si>
    <t xml:space="preserve">Impulse Shopping (Amazon, Flipkart etc)</t>
  </si>
  <si>
    <t xml:space="preserve">Unused Gym / App Subscriptions</t>
  </si>
  <si>
    <t xml:space="preserve">Café / Coffee &amp; snacks</t>
  </si>
  <si>
    <t xml:space="preserve">Weekend dining out (extra)</t>
  </si>
  <si>
    <t xml:space="preserve">Fuel / Ride-hails (discretionary)</t>
  </si>
  <si>
    <t xml:space="preserve">Other discretionary #1</t>
  </si>
  <si>
    <t xml:space="preserve">Other discretionary #2</t>
  </si>
  <si>
    <t xml:space="preserve">Total Monthly Leaks (₹)</t>
  </si>
  <si>
    <t xml:space="preserve">💡 Assumption: All leak amounts invested at 12% p.a. monthly SIP. Illustrative only.</t>
  </si>
  <si>
    <t xml:space="preserve">🛡️ Emergency Fund Tracker</t>
  </si>
  <si>
    <t xml:space="preserve">Setup</t>
  </si>
  <si>
    <t xml:space="preserve">Essential Monthly Expenses (₹)</t>
  </si>
  <si>
    <t xml:space="preserve">Employment Type (Salaried / Freelancer / Business)</t>
  </si>
  <si>
    <t xml:space="preserve">Target Months (auto)</t>
  </si>
  <si>
    <t xml:space="preserve">Emergency Fund Target (₹)</t>
  </si>
  <si>
    <t xml:space="preserve">Current Emergency Fund Balance (₹)</t>
  </si>
  <si>
    <t xml:space="preserve">Gap to Target (₹)</t>
  </si>
  <si>
    <t xml:space="preserve">% Achieved</t>
  </si>
  <si>
    <t xml:space="preserve">Status</t>
  </si>
  <si>
    <t xml:space="preserve">24-Month Balance Log (manual entry)</t>
  </si>
  <si>
    <t xml:space="preserve">Month</t>
  </si>
  <si>
    <t xml:space="preserve">Balance (₹)</t>
  </si>
  <si>
    <t xml:space="preserve">Apr-24</t>
  </si>
  <si>
    <t xml:space="preserve">May-24</t>
  </si>
  <si>
    <t xml:space="preserve">Jun-24</t>
  </si>
  <si>
    <t xml:space="preserve">Jul-24</t>
  </si>
  <si>
    <t xml:space="preserve">Aug-24</t>
  </si>
  <si>
    <t xml:space="preserve">Sep-24</t>
  </si>
  <si>
    <t xml:space="preserve">Oct-24</t>
  </si>
  <si>
    <t xml:space="preserve">Nov-24</t>
  </si>
  <si>
    <t xml:space="preserve">Dec-24</t>
  </si>
  <si>
    <t xml:space="preserve">Jan-25</t>
  </si>
  <si>
    <t xml:space="preserve">Feb-25</t>
  </si>
  <si>
    <t xml:space="preserve">Mar-25</t>
  </si>
  <si>
    <t xml:space="preserve">Apr-25</t>
  </si>
  <si>
    <t xml:space="preserve">May-25</t>
  </si>
  <si>
    <t xml:space="preserve">Jun-25</t>
  </si>
  <si>
    <t xml:space="preserve">Jul-25</t>
  </si>
  <si>
    <t xml:space="preserve">Aug-25</t>
  </si>
  <si>
    <t xml:space="preserve">Sep-25</t>
  </si>
  <si>
    <t xml:space="preserve">Oct-25</t>
  </si>
  <si>
    <t xml:space="preserve">Nov-25</t>
  </si>
  <si>
    <t xml:space="preserve">Dec-25</t>
  </si>
  <si>
    <t xml:space="preserve">Jan-26</t>
  </si>
  <si>
    <t xml:space="preserve">Feb-26</t>
  </si>
  <si>
    <t xml:space="preserve">Mar-26</t>
  </si>
  <si>
    <t xml:space="preserve">🎯 Financial Goals Tracker</t>
  </si>
  <si>
    <t xml:space="preserve">Goal Name</t>
  </si>
  <si>
    <t xml:space="preserve">Target Amount (₹)</t>
  </si>
  <si>
    <t xml:space="preserve">Already Saved (₹)</t>
  </si>
  <si>
    <t xml:space="preserve">Target Date (YYYY-MM)</t>
  </si>
  <si>
    <t xml:space="preserve">Monthly Saving Needed (₹)</t>
  </si>
  <si>
    <t xml:space="preserve">% Complete</t>
  </si>
  <si>
    <t xml:space="preserve">Emergency Fund Top-up</t>
  </si>
  <si>
    <t xml:space="preserve">2026-09</t>
  </si>
  <si>
    <t xml:space="preserve">International Vacation</t>
  </si>
  <si>
    <t xml:space="preserve">2027-01</t>
  </si>
  <si>
    <t xml:space="preserve">Down Payment – Car</t>
  </si>
  <si>
    <t xml:space="preserve">2027-06</t>
  </si>
  <si>
    <t xml:space="preserve">Higher Education Fund</t>
  </si>
  <si>
    <t xml:space="preserve">2030-06</t>
  </si>
  <si>
    <t xml:space="preserve">Home Renovation</t>
  </si>
  <si>
    <t xml:space="preserve">2028-03</t>
  </si>
  <si>
    <t xml:space="preserve">Retirement Corpus</t>
  </si>
  <si>
    <t xml:space="preserve">2050-04</t>
  </si>
  <si>
    <t xml:space="preserve">Total Monthly Saving Required (₹)</t>
  </si>
  <si>
    <t xml:space="preserve">As % of Income</t>
  </si>
  <si>
    <t xml:space="preserve">Warning if &gt;30%</t>
  </si>
  <si>
    <t xml:space="preserve">📈 SIP Projector Pro</t>
  </si>
  <si>
    <t xml:space="preserve">Inputs</t>
  </si>
  <si>
    <t xml:space="preserve">Monthly SIP Amount (₹)</t>
  </si>
  <si>
    <t xml:space="preserve">Expected Annual Return (%)</t>
  </si>
  <si>
    <t xml:space="preserve">Annual Step-up (%)</t>
  </si>
  <si>
    <t xml:space="preserve">Investment Horizon (Years)</t>
  </si>
  <si>
    <t xml:space="preserve">Inflation Rate (%)</t>
  </si>
  <si>
    <t xml:space="preserve">Year-by-Year Projection</t>
  </si>
  <si>
    <t xml:space="preserve">Year</t>
  </si>
  <si>
    <t xml:space="preserve">Total Invested (₹)</t>
  </si>
  <si>
    <t xml:space="preserve">Projected Value (₹)</t>
  </si>
  <si>
    <t xml:space="preserve">Inflation-Adj. Real Value (₹)</t>
  </si>
  <si>
    <t xml:space="preserve">🔮 Retirement Planner Pro</t>
  </si>
  <si>
    <t xml:space="preserve">Your Details</t>
  </si>
  <si>
    <t xml:space="preserve">Current Age</t>
  </si>
  <si>
    <t xml:space="preserve">Retirement Age</t>
  </si>
  <si>
    <t xml:space="preserve">Life Expectancy</t>
  </si>
  <si>
    <t xml:space="preserve">Current Monthly Expenses (₹)</t>
  </si>
  <si>
    <t xml:space="preserve">Desired Monthly Income at Retirement (today ₹)</t>
  </si>
  <si>
    <t xml:space="preserve">Expected Inflation Rate (%)</t>
  </si>
  <si>
    <t xml:space="preserve">Expected Return on Corpus Post-Retirement (%)</t>
  </si>
  <si>
    <t xml:space="preserve">Expected Return on Investments Pre-Retirement (%)</t>
  </si>
  <si>
    <t xml:space="preserve">Annual Step-up on SIP (%)</t>
  </si>
  <si>
    <t xml:space="preserve">Auto-Calculated Results</t>
  </si>
  <si>
    <t xml:space="preserve">Years to Retirement</t>
  </si>
  <si>
    <t xml:space="preserve">Retirement Duration (Years)</t>
  </si>
  <si>
    <t xml:space="preserve">Monthly Expenses at Retirement (inflated ₹)</t>
  </si>
  <si>
    <t xml:space="preserve">Corpus Needed at Retirement (₹)</t>
  </si>
  <si>
    <t xml:space="preserve">Monthly SIP Required (₹, approximate)</t>
  </si>
  <si>
    <t xml:space="preserve">Sensitivity – Corpus Need vs Return Rate</t>
  </si>
  <si>
    <t xml:space="preserve">Pre-retirement Return →</t>
  </si>
  <si>
    <t xml:space="preserve">8%</t>
  </si>
  <si>
    <t xml:space="preserve">10%</t>
  </si>
  <si>
    <t xml:space="preserve">12%</t>
  </si>
  <si>
    <t xml:space="preserve">14%</t>
  </si>
  <si>
    <t xml:space="preserve">Start age 25</t>
  </si>
  <si>
    <t xml:space="preserve">Start age 30</t>
  </si>
  <si>
    <t xml:space="preserve">Start age 35</t>
  </si>
  <si>
    <t xml:space="preserve">Start age 40</t>
  </si>
  <si>
    <t xml:space="preserve">🆚 Tax Regime Selector Pro – FY 2026-27</t>
  </si>
  <si>
    <t xml:space="preserve">Income Inputs</t>
  </si>
  <si>
    <t xml:space="preserve">Gross Annual Salary / CTC (₹)</t>
  </si>
  <si>
    <t xml:space="preserve">HRA Received (₹ p.a.)</t>
  </si>
  <si>
    <t xml:space="preserve">Rent Paid (₹ p.a.)</t>
  </si>
  <si>
    <t xml:space="preserve">80C Investments (PPF, ELSS, LIC, etc.) (₹)</t>
  </si>
  <si>
    <t xml:space="preserve">80D Health Insurance Premium (₹)</t>
  </si>
  <si>
    <t xml:space="preserve">80CCD(1B) NPS Extra (₹)</t>
  </si>
  <si>
    <t xml:space="preserve">Home Loan Interest u/s 24(b) (₹)</t>
  </si>
  <si>
    <t xml:space="preserve">Other Deductions (₹)</t>
  </si>
  <si>
    <t xml:space="preserve">Employer NPS u/s 80CCD(2) (₹)</t>
  </si>
  <si>
    <t xml:space="preserve">Old Regime Calculation</t>
  </si>
  <si>
    <t xml:space="preserve">Standard Deduction (₹50,000)</t>
  </si>
  <si>
    <t xml:space="preserve">HRA Exemption (least of: HRA received, Rent-10%salary, 50% salary)</t>
  </si>
  <si>
    <t xml:space="preserve">Total Deductions Old Regime (₹)</t>
  </si>
  <si>
    <t xml:space="preserve">Taxable Income Old Regime (₹)</t>
  </si>
  <si>
    <t xml:space="preserve">Tax Before Cess – Old Regime (₹)</t>
  </si>
  <si>
    <t xml:space="preserve">Rebate u/s 87A – Old (up to ₹12,500 if income ≤5L)</t>
  </si>
  <si>
    <t xml:space="preserve">Tax After Rebate – Old (₹)</t>
  </si>
  <si>
    <t xml:space="preserve">4% Health &amp; Education Cess (₹)</t>
  </si>
  <si>
    <t xml:space="preserve">Total Tax – Old Regime (₹)</t>
  </si>
  <si>
    <t xml:space="preserve">New Regime Calculation (Default from FY 2024-25)</t>
  </si>
  <si>
    <t xml:space="preserve">Standard Deduction Salaried (₹75,000)</t>
  </si>
  <si>
    <t xml:space="preserve">Employer NPS 80CCD(2) deduction (₹)</t>
  </si>
  <si>
    <t xml:space="preserve">Taxable Income – New Regime (₹)</t>
  </si>
  <si>
    <t xml:space="preserve">Tax Before Cess – New Regime (₹)</t>
  </si>
  <si>
    <t xml:space="preserve">Rebate u/s 87A – New (if income ≤12L, full tax rebate)</t>
  </si>
  <si>
    <t xml:space="preserve">Tax After Rebate – New (₹)</t>
  </si>
  <si>
    <t xml:space="preserve">4% Cess – New (₹)</t>
  </si>
  <si>
    <t xml:space="preserve">Total Tax – New Regime (₹)</t>
  </si>
  <si>
    <t xml:space="preserve">📊 Comparison &amp; Recommendation</t>
  </si>
  <si>
    <t xml:space="preserve">Tax Difference (Old - New) (₹)</t>
  </si>
  <si>
    <t xml:space="preserve">✅ Recommended Regime</t>
  </si>
  <si>
    <t xml:space="preserve">Monthly Tax Impact (₹/month)</t>
  </si>
  <si>
    <t xml:space="preserve">⚠️ NOTE: New Regime is the default from FY 2024-25. To opt for Old Regime, you must declare it before filing your ITR or via Form 10-IEA. Consult your CA. These calculations are indicative only.</t>
  </si>
  <si>
    <t xml:space="preserve">💼 Net Worth &amp; Investment Portfolio Tracker</t>
  </si>
  <si>
    <t xml:space="preserve">Assets</t>
  </si>
  <si>
    <t xml:space="preserve">Asset</t>
  </si>
  <si>
    <t xml:space="preserve">Current Value (₹)</t>
  </si>
  <si>
    <t xml:space="preserve">Allocation %</t>
  </si>
  <si>
    <t xml:space="preserve">Target %</t>
  </si>
  <si>
    <t xml:space="preserve">Rebalance?</t>
  </si>
  <si>
    <t xml:space="preserve">Savings Account / Cash</t>
  </si>
  <si>
    <t xml:space="preserve">Fixed Deposits (FD)</t>
  </si>
  <si>
    <t xml:space="preserve">Mutual Funds / ELSS</t>
  </si>
  <si>
    <t xml:space="preserve">Direct Stocks</t>
  </si>
  <si>
    <t xml:space="preserve">PPF</t>
  </si>
  <si>
    <t xml:space="preserve">EPF</t>
  </si>
  <si>
    <t xml:space="preserve">Real Estate (approx value)</t>
  </si>
  <si>
    <t xml:space="preserve">Gold / SGBs</t>
  </si>
  <si>
    <t xml:space="preserve">Other Assets</t>
  </si>
  <si>
    <t xml:space="preserve">Total Assets (₹)</t>
  </si>
  <si>
    <t xml:space="preserve">Liabilities</t>
  </si>
  <si>
    <t xml:space="preserve">Liability</t>
  </si>
  <si>
    <t xml:space="preserve">Outstanding (₹)</t>
  </si>
  <si>
    <t xml:space="preserve">Credit Card Balance</t>
  </si>
  <si>
    <t xml:space="preserve">Total Liabilities (₹)</t>
  </si>
  <si>
    <t xml:space="preserve">🏆 NET WORTH (₹)</t>
  </si>
  <si>
    <t xml:space="preserve">🏆 Financial Health Score Pro</t>
  </si>
  <si>
    <t xml:space="preserve">Score (0-10)</t>
  </si>
  <si>
    <t xml:space="preserve">Weight</t>
  </si>
  <si>
    <t xml:space="preserve">Weighted Score</t>
  </si>
  <si>
    <t xml:space="preserve">Savings Rate (target: &gt;20%)</t>
  </si>
  <si>
    <t xml:space="preserve">EMI-to-Income Ratio (target: &lt;30%)</t>
  </si>
  <si>
    <t xml:space="preserve">Emergency Fund (target: 100% funded)</t>
  </si>
  <si>
    <t xml:space="preserve">Net Worth (positive = 5+)</t>
  </si>
  <si>
    <t xml:space="preserve">Insurance Status (manual 0-10)</t>
  </si>
  <si>
    <t xml:space="preserve">Tax Planning (manual 0-10)</t>
  </si>
  <si>
    <t xml:space="preserve">Goals Progress (avg completion)</t>
  </si>
  <si>
    <t xml:space="preserve">🏆 Overall Health Score (out of 10)</t>
  </si>
  <si>
    <t xml:space="preserve">Overall Phase</t>
  </si>
  <si>
    <t xml:space="preserve">🎯 Top 3 Priority Actions This Month</t>
  </si>
  <si>
    <t xml:space="preserve">Action 3: Run Tax Regime Selector Pro (Sheet 10) before 31 March to ensure you're in the right regime.</t>
  </si>
  <si>
    <t xml:space="preserve">📊 Master Dashboard Pro – FirstBuzz365 Financial Command Centre</t>
  </si>
  <si>
    <t xml:space="preserve">Your Key Numbers at a Glance</t>
  </si>
  <si>
    <t xml:space="preserve">Monthly Surplus (₹)</t>
  </si>
  <si>
    <t xml:space="preserve">Savings Rate</t>
  </si>
  <si>
    <t xml:space="preserve">EMI Load</t>
  </si>
  <si>
    <t xml:space="preserve">Emergency Fund %</t>
  </si>
  <si>
    <t xml:space="preserve">Net Worth (₹)</t>
  </si>
  <si>
    <t xml:space="preserve">Health Score</t>
  </si>
  <si>
    <t xml:space="preserve">90-Day Action Checklist</t>
  </si>
  <si>
    <t xml:space="preserve">☐  Week 1–2: Complete all input cells in Income, Budget, Debt, and Emergency Fund sheets</t>
  </si>
  <si>
    <t xml:space="preserve">☐  Week 2: Run Tax Regime Selector – confirm you're on the right regime before March</t>
  </si>
  <si>
    <t xml:space="preserve">☐  Week 2: Find your top 3 leaks from Leak Finder sheet and cut ₹1,000+ monthly</t>
  </si>
  <si>
    <t xml:space="preserve">☐  Week 3: Set up a dedicated Emergency Fund savings account if not done yet</t>
  </si>
  <si>
    <t xml:space="preserve">☐  Week 3-4: Open a SIP if not started – even ₹500/month. Use SIP Projector to see impact</t>
  </si>
  <si>
    <t xml:space="preserve">☐  Month 2: Set all 10 financial goals in Goals Tracker with real target dates</t>
  </si>
  <si>
    <t xml:space="preserve">☐  Month 2: Review Net Worth sheet – catalogue all assets and liabilities</t>
  </si>
  <si>
    <t xml:space="preserve">☐  Month 3: Increase SIP by 10% step-up or match it to salary increment</t>
  </si>
  <si>
    <t xml:space="preserve">☐  Month 3: Run Retirement Planner – confirm your monthly SIP is on track for corpus</t>
  </si>
  <si>
    <t xml:space="preserve">☐  Ongoing: Check Health Score monthly – aim to improve by 0.5 points per quarter</t>
  </si>
  <si>
    <t xml:space="preserve">💡 Personalised Improvement Suggestions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</si>
</sst>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"/>
    <numFmt numFmtId="166" formatCode="0.0%"/>
    <numFmt numFmtId="167" formatCode="0"/>
    <numFmt numFmtId="168" formatCode="0%"/>
    <numFmt numFmtId="169" formatCode="0.00"/>
    <numFmt numFmtId="170" formatCode="0.0"/>
  </numFmts>
  <fonts count="3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1A3A5C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8B"/>
      <name val="Arial"/>
      <family val="0"/>
      <charset val="1"/>
    </font>
    <font>
      <sz val="10"/>
      <color rgb="FF276221"/>
      <name val="Arial"/>
      <family val="0"/>
      <charset val="1"/>
    </font>
    <font>
      <sz val="10"/>
      <color rgb="FF9C0006"/>
      <name val="Arial"/>
      <family val="0"/>
      <charset val="1"/>
    </font>
    <font>
      <sz val="10"/>
      <color rgb="FF9C5700"/>
      <name val="Arial"/>
      <family val="0"/>
      <charset val="1"/>
    </font>
    <font>
      <sz val="10"/>
      <color rgb="FF833C00"/>
      <name val="Arial"/>
      <family val="0"/>
      <charset val="1"/>
    </font>
    <font>
      <i val="true"/>
      <sz val="9"/>
      <color rgb="FF833C00"/>
      <name val="Arial"/>
      <family val="0"/>
      <charset val="1"/>
    </font>
    <font>
      <i val="true"/>
      <sz val="9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10"/>
      <color rgb="FF404040"/>
      <name val="Arial"/>
      <family val="0"/>
      <charset val="1"/>
    </font>
    <font>
      <sz val="11"/>
      <color rgb="FF00008B"/>
      <name val="Arial"/>
      <family val="0"/>
      <charset val="1"/>
    </font>
    <font>
      <b val="true"/>
      <sz val="11"/>
      <color rgb="FF276221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1"/>
      <color rgb="FF9C5700"/>
      <name val="Arial"/>
      <family val="0"/>
      <charset val="1"/>
    </font>
    <font>
      <b val="true"/>
      <sz val="11"/>
      <color rgb="FF9C0006"/>
      <name val="Arial"/>
      <family val="0"/>
      <charset val="1"/>
    </font>
    <font>
      <b val="true"/>
      <sz val="13"/>
      <color rgb="FF000000"/>
      <name val="Arial"/>
      <family val="0"/>
      <charset val="1"/>
    </font>
    <font>
      <sz val="10"/>
      <color rgb="FF606060"/>
      <name val="Arial"/>
      <family val="0"/>
      <charset val="1"/>
    </font>
    <font>
      <b val="true"/>
      <sz val="16"/>
      <color rgb="FF1A3A5C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1A3A5C"/>
        <bgColor rgb="FF404040"/>
      </patternFill>
    </fill>
    <fill>
      <patternFill patternType="solid">
        <fgColor rgb="FF2E6DA4"/>
        <bgColor rgb="FF4A7EBB"/>
      </patternFill>
    </fill>
    <fill>
      <patternFill patternType="solid">
        <fgColor rgb="FFBDD7EE"/>
        <bgColor rgb="FFCCCCCC"/>
      </patternFill>
    </fill>
    <fill>
      <patternFill patternType="solid">
        <fgColor rgb="FFD6E8F5"/>
        <bgColor rgb="FFD9D9D9"/>
      </patternFill>
    </fill>
    <fill>
      <patternFill patternType="solid">
        <fgColor rgb="FFF0F0F0"/>
        <bgColor rgb="FFFCE4D6"/>
      </patternFill>
    </fill>
    <fill>
      <patternFill patternType="solid">
        <fgColor rgb="FFC6EFCE"/>
        <bgColor rgb="FFD6E8F5"/>
      </patternFill>
    </fill>
    <fill>
      <patternFill patternType="solid">
        <fgColor rgb="FFFFC7CE"/>
        <bgColor rgb="FFFCE4D6"/>
      </patternFill>
    </fill>
    <fill>
      <patternFill patternType="solid">
        <fgColor rgb="FFFFEB9C"/>
        <bgColor rgb="FFFCE4D6"/>
      </patternFill>
    </fill>
    <fill>
      <patternFill patternType="solid">
        <fgColor rgb="FFFCE4D6"/>
        <bgColor rgb="FFF0F0F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medium">
        <color rgb="FF2E6DA4"/>
      </left>
      <right style="medium">
        <color rgb="FF2E6DA4"/>
      </right>
      <top style="medium">
        <color rgb="FF2E6DA4"/>
      </top>
      <bottom style="medium">
        <color rgb="FF2E6DA4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7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8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9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1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1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8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8" fillId="9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9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3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2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0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2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2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32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2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>
          <bgColor rgb="FFC6EFCE"/>
        </patternFill>
      </fill>
    </dxf>
    <dxf>
      <fill>
        <patternFill>
          <bgColor rgb="FFFFEB9C"/>
        </patternFill>
      </fill>
    </dxf>
    <dxf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276221"/>
      <rgbColor rgb="FF00008B"/>
      <rgbColor rgb="FF9C5700"/>
      <rgbColor rgb="FF800080"/>
      <rgbColor rgb="FF008080"/>
      <rgbColor rgb="FFCCCCCC"/>
      <rgbColor rgb="FF878787"/>
      <rgbColor rgb="FF9999FF"/>
      <rgbColor rgb="FFBE4B48"/>
      <rgbColor rgb="FFF0F0F0"/>
      <rgbColor rgb="FFD6E8F5"/>
      <rgbColor rgb="FF660066"/>
      <rgbColor rgb="FFFF8080"/>
      <rgbColor rgb="FF2E6DA4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C6EFCE"/>
      <rgbColor rgb="FFFFEB9C"/>
      <rgbColor rgb="FF99CCFF"/>
      <rgbColor rgb="FFFCE4D6"/>
      <rgbColor rgb="FFCC99FF"/>
      <rgbColor rgb="FFFFC7CE"/>
      <rgbColor rgb="FF4A7EBB"/>
      <rgbColor rgb="FF33CCCC"/>
      <rgbColor rgb="FF98B855"/>
      <rgbColor rgb="FFFFCC00"/>
      <rgbColor rgb="FFFF9900"/>
      <rgbColor rgb="FFFF6600"/>
      <rgbColor rgb="FF606060"/>
      <rgbColor rgb="FF969696"/>
      <rgbColor rgb="FF1A3A5C"/>
      <rgbColor rgb="FF339966"/>
      <rgbColor rgb="FF003300"/>
      <rgbColor rgb="FF333300"/>
      <rgbColor rgb="FF833C00"/>
      <rgbColor rgb="FF993366"/>
      <rgbColor rgb="FF333399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SIP Growth Projection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'📈 SIP Projector Pro'!C10</c:f>
              <c:strCache>
                <c:ptCount val="1"/>
                <c:pt idx="0">
                  <c:v>Total Invested (₹)</c:v>
                </c:pt>
              </c:strCache>
            </c:strRef>
          </c:tx>
          <c:spPr>
            <a:solidFill>
              <a:srgbClr val="4a7ebb"/>
            </a:solidFill>
            <a:ln w="4752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SIP Projector Pro'!$B$11:$B$40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'📈 SIP Projector Pro'!$C$11:$C$40</c:f>
              <c:numCache>
                <c:formatCode>#,##0</c:formatCode>
                <c:ptCount val="30"/>
                <c:pt idx="0">
                  <c:v>60000</c:v>
                </c:pt>
                <c:pt idx="1">
                  <c:v>126000</c:v>
                </c:pt>
                <c:pt idx="2">
                  <c:v>198600</c:v>
                </c:pt>
                <c:pt idx="3">
                  <c:v>278460</c:v>
                </c:pt>
                <c:pt idx="4">
                  <c:v>366306</c:v>
                </c:pt>
                <c:pt idx="5">
                  <c:v>462937</c:v>
                </c:pt>
                <c:pt idx="6">
                  <c:v>569230</c:v>
                </c:pt>
                <c:pt idx="7">
                  <c:v>686153</c:v>
                </c:pt>
                <c:pt idx="8">
                  <c:v>814769</c:v>
                </c:pt>
                <c:pt idx="9">
                  <c:v>956245</c:v>
                </c:pt>
                <c:pt idx="10">
                  <c:v>1111870</c:v>
                </c:pt>
                <c:pt idx="11">
                  <c:v>1283057</c:v>
                </c:pt>
                <c:pt idx="12">
                  <c:v>1471363</c:v>
                </c:pt>
                <c:pt idx="13">
                  <c:v>1678499</c:v>
                </c:pt>
                <c:pt idx="14">
                  <c:v>1906349</c:v>
                </c:pt>
                <c:pt idx="15">
                  <c:v>2156984</c:v>
                </c:pt>
                <c:pt idx="16">
                  <c:v>2432682</c:v>
                </c:pt>
                <c:pt idx="17">
                  <c:v>2735950</c:v>
                </c:pt>
                <c:pt idx="18">
                  <c:v>3069545</c:v>
                </c:pt>
                <c:pt idx="19">
                  <c:v>3436500</c:v>
                </c:pt>
                <c:pt idx="20">
                  <c:v>3840150</c:v>
                </c:pt>
                <c:pt idx="21">
                  <c:v>4284165</c:v>
                </c:pt>
                <c:pt idx="22">
                  <c:v>4772581</c:v>
                </c:pt>
                <c:pt idx="23">
                  <c:v>5309840</c:v>
                </c:pt>
                <c:pt idx="24">
                  <c:v>5900824</c:v>
                </c:pt>
                <c:pt idx="25">
                  <c:v>6550906</c:v>
                </c:pt>
                <c:pt idx="26">
                  <c:v>7265997</c:v>
                </c:pt>
                <c:pt idx="27">
                  <c:v>8052596</c:v>
                </c:pt>
                <c:pt idx="28">
                  <c:v>8917856</c:v>
                </c:pt>
                <c:pt idx="29">
                  <c:v>9869641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'📈 SIP Projector Pro'!D10</c:f>
              <c:strCache>
                <c:ptCount val="1"/>
                <c:pt idx="0">
                  <c:v>Projected Value (₹)</c:v>
                </c:pt>
              </c:strCache>
            </c:strRef>
          </c:tx>
          <c:spPr>
            <a:solidFill>
              <a:srgbClr val="be4b48"/>
            </a:solidFill>
            <a:ln w="4752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SIP Projector Pro'!$B$11:$B$40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'📈 SIP Projector Pro'!$D$11:$D$40</c:f>
              <c:numCache>
                <c:formatCode>#,##0</c:formatCode>
                <c:ptCount val="30"/>
                <c:pt idx="0">
                  <c:v>66508</c:v>
                </c:pt>
                <c:pt idx="1">
                  <c:v>148354</c:v>
                </c:pt>
                <c:pt idx="2">
                  <c:v>248487</c:v>
                </c:pt>
                <c:pt idx="3">
                  <c:v>370397</c:v>
                </c:pt>
                <c:pt idx="4">
                  <c:v>518218</c:v>
                </c:pt>
                <c:pt idx="5">
                  <c:v>696845</c:v>
                </c:pt>
                <c:pt idx="6">
                  <c:v>912069</c:v>
                </c:pt>
                <c:pt idx="7">
                  <c:v>1170748</c:v>
                </c:pt>
                <c:pt idx="8">
                  <c:v>1480992</c:v>
                </c:pt>
                <c:pt idx="9">
                  <c:v>1852398</c:v>
                </c:pt>
                <c:pt idx="10">
                  <c:v>2296320</c:v>
                </c:pt>
                <c:pt idx="11">
                  <c:v>2826185</c:v>
                </c:pt>
                <c:pt idx="12">
                  <c:v>3457876</c:v>
                </c:pt>
                <c:pt idx="13">
                  <c:v>4210174</c:v>
                </c:pt>
                <c:pt idx="14">
                  <c:v>5105289</c:v>
                </c:pt>
                <c:pt idx="15">
                  <c:v>6169484</c:v>
                </c:pt>
                <c:pt idx="16">
                  <c:v>7433810</c:v>
                </c:pt>
                <c:pt idx="17">
                  <c:v>8934979</c:v>
                </c:pt>
                <c:pt idx="18">
                  <c:v>10716394</c:v>
                </c:pt>
                <c:pt idx="19">
                  <c:v>12829368</c:v>
                </c:pt>
                <c:pt idx="20">
                  <c:v>15334560</c:v>
                </c:pt>
                <c:pt idx="21">
                  <c:v>18303675</c:v>
                </c:pt>
                <c:pt idx="22">
                  <c:v>21821477</c:v>
                </c:pt>
                <c:pt idx="23">
                  <c:v>25988163</c:v>
                </c:pt>
                <c:pt idx="24">
                  <c:v>30922165</c:v>
                </c:pt>
                <c:pt idx="25">
                  <c:v>36763476</c:v>
                </c:pt>
                <c:pt idx="26">
                  <c:v>43677563</c:v>
                </c:pt>
                <c:pt idx="27">
                  <c:v>51860004</c:v>
                </c:pt>
                <c:pt idx="28">
                  <c:v>61541963</c:v>
                </c:pt>
                <c:pt idx="29">
                  <c:v>72996663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'📈 SIP Projector Pro'!E10</c:f>
              <c:strCache>
                <c:ptCount val="1"/>
                <c:pt idx="0">
                  <c:v>Inflation-Adj. Real Value (₹)</c:v>
                </c:pt>
              </c:strCache>
            </c:strRef>
          </c:tx>
          <c:spPr>
            <a:solidFill>
              <a:srgbClr val="98b855"/>
            </a:solidFill>
            <a:ln w="4752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SIP Projector Pro'!$B$11:$B$40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'📈 SIP Projector Pro'!$E$11:$E$40</c:f>
              <c:numCache>
                <c:formatCode>#,##0</c:formatCode>
                <c:ptCount val="30"/>
                <c:pt idx="0">
                  <c:v>62157</c:v>
                </c:pt>
                <c:pt idx="1">
                  <c:v>129578</c:v>
                </c:pt>
                <c:pt idx="2">
                  <c:v>202839</c:v>
                </c:pt>
                <c:pt idx="3">
                  <c:v>282574</c:v>
                </c:pt>
                <c:pt idx="4">
                  <c:v>369482</c:v>
                </c:pt>
                <c:pt idx="5">
                  <c:v>464337</c:v>
                </c:pt>
                <c:pt idx="6">
                  <c:v>567991</c:v>
                </c:pt>
                <c:pt idx="7">
                  <c:v>681386</c:v>
                </c:pt>
                <c:pt idx="8">
                  <c:v>805562</c:v>
                </c:pt>
                <c:pt idx="9">
                  <c:v>941665</c:v>
                </c:pt>
                <c:pt idx="10">
                  <c:v>1090965</c:v>
                </c:pt>
                <c:pt idx="11">
                  <c:v>1254860</c:v>
                </c:pt>
                <c:pt idx="12">
                  <c:v>1434896</c:v>
                </c:pt>
                <c:pt idx="13">
                  <c:v>1632778</c:v>
                </c:pt>
                <c:pt idx="14">
                  <c:v>1850392</c:v>
                </c:pt>
                <c:pt idx="15">
                  <c:v>2089818</c:v>
                </c:pt>
                <c:pt idx="16">
                  <c:v>2353354</c:v>
                </c:pt>
                <c:pt idx="17">
                  <c:v>2643538</c:v>
                </c:pt>
                <c:pt idx="18">
                  <c:v>2963172</c:v>
                </c:pt>
                <c:pt idx="19">
                  <c:v>3315352</c:v>
                </c:pt>
                <c:pt idx="20">
                  <c:v>3703497</c:v>
                </c:pt>
                <c:pt idx="21">
                  <c:v>4131380</c:v>
                </c:pt>
                <c:pt idx="22">
                  <c:v>4603173</c:v>
                </c:pt>
                <c:pt idx="23">
                  <c:v>5123478</c:v>
                </c:pt>
                <c:pt idx="24">
                  <c:v>5697383</c:v>
                </c:pt>
                <c:pt idx="25">
                  <c:v>6330505</c:v>
                </c:pt>
                <c:pt idx="26">
                  <c:v>7029046</c:v>
                </c:pt>
                <c:pt idx="27">
                  <c:v>7799859</c:v>
                </c:pt>
                <c:pt idx="28">
                  <c:v>8650512</c:v>
                </c:pt>
                <c:pt idx="29">
                  <c:v>9589361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3664591"/>
        <c:axId val="34327703"/>
      </c:lineChart>
      <c:catAx>
        <c:axId val="366459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4327703"/>
        <c:crosses val="autoZero"/>
        <c:auto val="1"/>
        <c:lblAlgn val="ctr"/>
        <c:lblOffset val="100"/>
        <c:noMultiLvlLbl val="0"/>
      </c:catAx>
      <c:valAx>
        <c:axId val="3432770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Value (₹)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66459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160560</xdr:rowOff>
    </xdr:from>
    <xdr:to>
      <xdr:col>17</xdr:col>
      <xdr:colOff>473040</xdr:colOff>
      <xdr:row>23</xdr:row>
      <xdr:rowOff>41400</xdr:rowOff>
    </xdr:to>
    <xdr:graphicFrame>
      <xdr:nvGraphicFramePr>
        <xdr:cNvPr id="0" name="Chart 1"/>
        <xdr:cNvGraphicFramePr/>
      </xdr:nvGraphicFramePr>
      <xdr:xfrm>
        <a:off x="6202800" y="380880"/>
        <a:ext cx="7199640" cy="431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3" min="3" style="0" width="55"/>
    <col collapsed="false" customWidth="true" hidden="false" outlineLevel="0" max="4" min="4" style="0" width="20"/>
    <col collapsed="false" customWidth="true" hidden="false" outlineLevel="0" max="5" min="5" style="0" width="3"/>
  </cols>
  <sheetData>
    <row r="1" customFormat="false" ht="18" hidden="false" customHeight="true" outlineLevel="0" collapsed="false"/>
    <row r="2" customFormat="false" ht="36" hidden="false" customHeight="true" outlineLevel="0" collapsed="false">
      <c r="B2" s="1" t="s">
        <v>0</v>
      </c>
      <c r="C2" s="1"/>
      <c r="D2" s="1"/>
    </row>
    <row r="3" customFormat="false" ht="21.75" hidden="false" customHeight="true" outlineLevel="0" collapsed="false">
      <c r="B3" s="2" t="s">
        <v>1</v>
      </c>
      <c r="C3" s="2"/>
      <c r="D3" s="2"/>
    </row>
    <row r="4" customFormat="false" ht="18" hidden="false" customHeight="true" outlineLevel="0" collapsed="false"/>
    <row r="5" customFormat="false" ht="15" hidden="false" customHeight="false" outlineLevel="0" collapsed="false">
      <c r="B5" s="3" t="s">
        <v>2</v>
      </c>
      <c r="C5" s="3"/>
      <c r="D5" s="3"/>
    </row>
    <row r="6" customFormat="false" ht="15" hidden="false" customHeight="false" outlineLevel="0" collapsed="false">
      <c r="B6" s="4" t="s">
        <v>3</v>
      </c>
      <c r="C6" s="4"/>
      <c r="D6" s="4"/>
    </row>
    <row r="7" customFormat="false" ht="15" hidden="false" customHeight="false" outlineLevel="0" collapsed="false">
      <c r="B7" s="4" t="s">
        <v>4</v>
      </c>
      <c r="C7" s="4"/>
      <c r="D7" s="4"/>
    </row>
    <row r="8" customFormat="false" ht="15" hidden="false" customHeight="false" outlineLevel="0" collapsed="false">
      <c r="B8" s="4" t="s">
        <v>5</v>
      </c>
      <c r="C8" s="4"/>
      <c r="D8" s="4"/>
    </row>
    <row r="9" customFormat="false" ht="15" hidden="false" customHeight="false" outlineLevel="0" collapsed="false">
      <c r="B9" s="4" t="s">
        <v>6</v>
      </c>
      <c r="C9" s="4"/>
      <c r="D9" s="4"/>
    </row>
    <row r="10" customFormat="false" ht="15" hidden="false" customHeight="false" outlineLevel="0" collapsed="false">
      <c r="B10" s="4" t="s">
        <v>7</v>
      </c>
      <c r="C10" s="4"/>
      <c r="D10" s="4"/>
    </row>
    <row r="11" customFormat="false" ht="15" hidden="false" customHeight="false" outlineLevel="0" collapsed="false">
      <c r="B11" s="4" t="s">
        <v>8</v>
      </c>
      <c r="C11" s="4"/>
      <c r="D11" s="4"/>
    </row>
    <row r="13" customFormat="false" ht="15" hidden="false" customHeight="false" outlineLevel="0" collapsed="false">
      <c r="B13" s="3" t="s">
        <v>9</v>
      </c>
      <c r="C13" s="3"/>
      <c r="D13" s="3"/>
    </row>
    <row r="14" customFormat="false" ht="19.5" hidden="false" customHeight="true" outlineLevel="0" collapsed="false">
      <c r="B14" s="5" t="s">
        <v>10</v>
      </c>
      <c r="C14" s="5"/>
      <c r="D14" s="5"/>
    </row>
    <row r="15" customFormat="false" ht="19.5" hidden="false" customHeight="true" outlineLevel="0" collapsed="false">
      <c r="B15" s="5" t="s">
        <v>11</v>
      </c>
      <c r="C15" s="5"/>
      <c r="D15" s="5"/>
    </row>
    <row r="16" customFormat="false" ht="19.5" hidden="false" customHeight="true" outlineLevel="0" collapsed="false">
      <c r="B16" s="5" t="s">
        <v>12</v>
      </c>
      <c r="C16" s="5"/>
      <c r="D16" s="5"/>
    </row>
    <row r="17" customFormat="false" ht="19.5" hidden="false" customHeight="true" outlineLevel="0" collapsed="false">
      <c r="B17" s="5" t="s">
        <v>13</v>
      </c>
      <c r="C17" s="5"/>
      <c r="D17" s="5"/>
    </row>
    <row r="18" customFormat="false" ht="19.5" hidden="false" customHeight="true" outlineLevel="0" collapsed="false">
      <c r="B18" s="5" t="s">
        <v>14</v>
      </c>
      <c r="C18" s="5"/>
      <c r="D18" s="5"/>
    </row>
    <row r="19" customFormat="false" ht="19.5" hidden="false" customHeight="true" outlineLevel="0" collapsed="false">
      <c r="B19" s="5" t="s">
        <v>15</v>
      </c>
      <c r="C19" s="5"/>
      <c r="D19" s="5"/>
    </row>
    <row r="20" customFormat="false" ht="19.5" hidden="false" customHeight="true" outlineLevel="0" collapsed="false">
      <c r="B20" s="5" t="s">
        <v>16</v>
      </c>
      <c r="C20" s="5"/>
      <c r="D20" s="5"/>
    </row>
    <row r="21" customFormat="false" ht="19.5" hidden="false" customHeight="true" outlineLevel="0" collapsed="false">
      <c r="B21" s="5" t="s">
        <v>17</v>
      </c>
      <c r="C21" s="5"/>
      <c r="D21" s="5"/>
    </row>
    <row r="22" customFormat="false" ht="19.5" hidden="false" customHeight="true" outlineLevel="0" collapsed="false">
      <c r="B22" s="5" t="s">
        <v>18</v>
      </c>
      <c r="C22" s="5"/>
      <c r="D22" s="5"/>
    </row>
    <row r="23" customFormat="false" ht="19.5" hidden="false" customHeight="true" outlineLevel="0" collapsed="false">
      <c r="B23" s="5" t="s">
        <v>19</v>
      </c>
      <c r="C23" s="5"/>
      <c r="D23" s="5"/>
    </row>
    <row r="25" customFormat="false" ht="15" hidden="false" customHeight="false" outlineLevel="0" collapsed="false">
      <c r="B25" s="3" t="s">
        <v>20</v>
      </c>
      <c r="C25" s="3"/>
      <c r="D25" s="3"/>
    </row>
    <row r="26" customFormat="false" ht="15" hidden="false" customHeight="false" outlineLevel="0" collapsed="false">
      <c r="B26" s="6" t="s">
        <v>21</v>
      </c>
      <c r="C26" s="6"/>
      <c r="D26" s="6"/>
    </row>
    <row r="27" customFormat="false" ht="15" hidden="false" customHeight="false" outlineLevel="0" collapsed="false">
      <c r="B27" s="7" t="s">
        <v>22</v>
      </c>
      <c r="C27" s="7"/>
      <c r="D27" s="7"/>
    </row>
    <row r="28" customFormat="false" ht="15" hidden="false" customHeight="false" outlineLevel="0" collapsed="false">
      <c r="B28" s="8" t="s">
        <v>23</v>
      </c>
      <c r="C28" s="8"/>
      <c r="D28" s="8"/>
    </row>
    <row r="29" customFormat="false" ht="15" hidden="false" customHeight="false" outlineLevel="0" collapsed="false">
      <c r="B29" s="9" t="s">
        <v>24</v>
      </c>
      <c r="C29" s="9"/>
      <c r="D29" s="9"/>
    </row>
    <row r="30" customFormat="false" ht="15" hidden="false" customHeight="false" outlineLevel="0" collapsed="false">
      <c r="B30" s="10" t="s">
        <v>25</v>
      </c>
      <c r="C30" s="10"/>
      <c r="D30" s="10"/>
    </row>
    <row r="31" customFormat="false" ht="15" hidden="false" customHeight="false" outlineLevel="0" collapsed="false">
      <c r="B31" s="11" t="s">
        <v>26</v>
      </c>
      <c r="C31" s="11"/>
      <c r="D31" s="11"/>
    </row>
    <row r="33" customFormat="false" ht="15" hidden="false" customHeight="false" outlineLevel="0" collapsed="false">
      <c r="B33" s="3" t="s">
        <v>27</v>
      </c>
      <c r="C33" s="3"/>
      <c r="D33" s="3"/>
    </row>
    <row r="34" customFormat="false" ht="49.5" hidden="false" customHeight="true" outlineLevel="0" collapsed="false">
      <c r="B34" s="12" t="s">
        <v>28</v>
      </c>
      <c r="C34" s="12"/>
      <c r="D34" s="12"/>
    </row>
    <row r="36" customFormat="false" ht="15.75" hidden="false" customHeight="true" outlineLevel="0" collapsed="false">
      <c r="A36" s="13" t="s">
        <v>29</v>
      </c>
      <c r="B36" s="13"/>
      <c r="C36" s="13"/>
      <c r="D36" s="13"/>
      <c r="E36" s="13"/>
    </row>
  </sheetData>
  <mergeCells count="30">
    <mergeCell ref="B2:D2"/>
    <mergeCell ref="B3:D3"/>
    <mergeCell ref="B5:D5"/>
    <mergeCell ref="B6:D6"/>
    <mergeCell ref="B7:D7"/>
    <mergeCell ref="B8:D8"/>
    <mergeCell ref="B9:D9"/>
    <mergeCell ref="B10:D10"/>
    <mergeCell ref="B11:D11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5:D25"/>
    <mergeCell ref="B26:D26"/>
    <mergeCell ref="B27:D27"/>
    <mergeCell ref="B28:D28"/>
    <mergeCell ref="B29:D29"/>
    <mergeCell ref="B30:D30"/>
    <mergeCell ref="B31:D31"/>
    <mergeCell ref="B33:D33"/>
    <mergeCell ref="B34:D34"/>
    <mergeCell ref="A36:E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2"/>
    <col collapsed="false" customWidth="true" hidden="false" outlineLevel="0" max="4" min="3" style="0" width="24"/>
    <col collapsed="false" customWidth="true" hidden="false" outlineLevel="0" max="5" min="5" style="0" width="20"/>
    <col collapsed="false" customWidth="true" hidden="false" outlineLevel="0" max="6" min="6" style="0" width="3"/>
  </cols>
  <sheetData>
    <row r="1" customFormat="false" ht="17.35" hidden="false" customHeight="true" outlineLevel="0" collapsed="false">
      <c r="B1" s="14" t="s">
        <v>30</v>
      </c>
      <c r="C1" s="14"/>
      <c r="D1" s="14"/>
      <c r="E1" s="14"/>
    </row>
    <row r="2" customFormat="false" ht="15" hidden="false" customHeight="false" outlineLevel="0" collapsed="false">
      <c r="B2" s="3" t="s">
        <v>31</v>
      </c>
      <c r="C2" s="3"/>
      <c r="D2" s="3"/>
      <c r="E2" s="3"/>
    </row>
    <row r="3" customFormat="false" ht="15" hidden="false" customHeight="false" outlineLevel="0" collapsed="false">
      <c r="B3" s="15" t="s">
        <v>32</v>
      </c>
      <c r="C3" s="16" t="s">
        <v>33</v>
      </c>
    </row>
    <row r="4" customFormat="false" ht="15" hidden="false" customHeight="false" outlineLevel="0" collapsed="false">
      <c r="B4" s="15" t="s">
        <v>34</v>
      </c>
      <c r="C4" s="16" t="s">
        <v>35</v>
      </c>
    </row>
    <row r="5" customFormat="false" ht="15" hidden="false" customHeight="false" outlineLevel="0" collapsed="false">
      <c r="B5" s="15" t="s">
        <v>36</v>
      </c>
      <c r="C5" s="16" t="s">
        <v>37</v>
      </c>
    </row>
    <row r="6" customFormat="false" ht="15" hidden="false" customHeight="false" outlineLevel="0" collapsed="false">
      <c r="B6" s="15" t="s">
        <v>38</v>
      </c>
      <c r="C6" s="16" t="s">
        <v>39</v>
      </c>
    </row>
    <row r="7" customFormat="false" ht="15" hidden="false" customHeight="false" outlineLevel="0" collapsed="false">
      <c r="B7" s="15" t="s">
        <v>40</v>
      </c>
      <c r="C7" s="16" t="s">
        <v>41</v>
      </c>
    </row>
    <row r="8" customFormat="false" ht="15" hidden="false" customHeight="false" outlineLevel="0" collapsed="false">
      <c r="B8" s="15" t="s">
        <v>42</v>
      </c>
      <c r="C8" s="16" t="n">
        <v>1</v>
      </c>
    </row>
    <row r="9" customFormat="false" ht="15" hidden="false" customHeight="false" outlineLevel="0" collapsed="false">
      <c r="B9" s="15" t="s">
        <v>43</v>
      </c>
      <c r="C9" s="16" t="s">
        <v>44</v>
      </c>
    </row>
    <row r="11" customFormat="false" ht="15" hidden="false" customHeight="false" outlineLevel="0" collapsed="false">
      <c r="B11" s="3" t="s">
        <v>45</v>
      </c>
      <c r="C11" s="3"/>
      <c r="D11" s="3"/>
      <c r="E11" s="3"/>
    </row>
    <row r="12" customFormat="false" ht="15" hidden="false" customHeight="false" outlineLevel="0" collapsed="false">
      <c r="B12" s="15" t="s">
        <v>46</v>
      </c>
      <c r="C12" s="17" t="n">
        <v>60000</v>
      </c>
    </row>
    <row r="13" customFormat="false" ht="15" hidden="false" customHeight="false" outlineLevel="0" collapsed="false">
      <c r="B13" s="15" t="s">
        <v>47</v>
      </c>
      <c r="C13" s="17" t="n">
        <v>0</v>
      </c>
    </row>
    <row r="14" customFormat="false" ht="15" hidden="false" customHeight="false" outlineLevel="0" collapsed="false">
      <c r="B14" s="15" t="s">
        <v>48</v>
      </c>
      <c r="C14" s="17" t="n">
        <v>0</v>
      </c>
    </row>
    <row r="15" customFormat="false" ht="15" hidden="false" customHeight="false" outlineLevel="0" collapsed="false">
      <c r="B15" s="15" t="s">
        <v>49</v>
      </c>
      <c r="C15" s="17" t="n">
        <v>0</v>
      </c>
    </row>
    <row r="16" customFormat="false" ht="15" hidden="false" customHeight="false" outlineLevel="0" collapsed="false">
      <c r="B16" s="15" t="s">
        <v>50</v>
      </c>
      <c r="C16" s="17" t="n">
        <v>0</v>
      </c>
    </row>
    <row r="17" customFormat="false" ht="15" hidden="false" customHeight="false" outlineLevel="0" collapsed="false">
      <c r="B17" s="15" t="s">
        <v>51</v>
      </c>
      <c r="C17" s="18" t="n">
        <f aca="false">SUM(C12:C16)</f>
        <v>60000</v>
      </c>
    </row>
    <row r="19" customFormat="false" ht="15" hidden="false" customHeight="false" outlineLevel="0" collapsed="false">
      <c r="B19" s="3" t="s">
        <v>52</v>
      </c>
      <c r="C19" s="3"/>
      <c r="D19" s="3"/>
      <c r="E19" s="3"/>
    </row>
    <row r="20" customFormat="false" ht="15" hidden="false" customHeight="false" outlineLevel="0" collapsed="false">
      <c r="B20" s="15" t="s">
        <v>53</v>
      </c>
      <c r="C20" s="19" t="n">
        <v>0.08</v>
      </c>
    </row>
    <row r="21" customFormat="false" ht="15" hidden="false" customHeight="false" outlineLevel="0" collapsed="false">
      <c r="B21" s="15" t="s">
        <v>54</v>
      </c>
      <c r="C21" s="19" t="n">
        <v>0.07</v>
      </c>
    </row>
    <row r="23" customFormat="false" ht="15" hidden="false" customHeight="false" outlineLevel="0" collapsed="false">
      <c r="B23" s="20" t="s">
        <v>55</v>
      </c>
      <c r="C23" s="20"/>
      <c r="D23" s="20"/>
      <c r="E23" s="20"/>
    </row>
    <row r="25" customFormat="false" ht="15.75" hidden="false" customHeight="true" outlineLevel="0" collapsed="false">
      <c r="A25" s="13" t="s">
        <v>29</v>
      </c>
      <c r="B25" s="13"/>
      <c r="C25" s="13"/>
      <c r="D25" s="13"/>
      <c r="E25" s="13"/>
      <c r="F25" s="13"/>
    </row>
  </sheetData>
  <mergeCells count="6">
    <mergeCell ref="B1:E1"/>
    <mergeCell ref="B2:E2"/>
    <mergeCell ref="B11:E11"/>
    <mergeCell ref="B19:E19"/>
    <mergeCell ref="B23:E23"/>
    <mergeCell ref="A25:F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3" min="3" style="0" width="18"/>
    <col collapsed="false" customWidth="true" hidden="false" outlineLevel="0" max="5" min="4" style="0" width="14"/>
    <col collapsed="false" customWidth="true" hidden="false" outlineLevel="0" max="7" min="6" style="0" width="18"/>
    <col collapsed="false" customWidth="true" hidden="false" outlineLevel="0" max="8" min="8" style="0" width="3"/>
  </cols>
  <sheetData>
    <row r="1" customFormat="false" ht="17.35" hidden="false" customHeight="true" outlineLevel="0" collapsed="false">
      <c r="B1" s="14" t="s">
        <v>56</v>
      </c>
      <c r="C1" s="14"/>
      <c r="D1" s="14"/>
      <c r="E1" s="14"/>
      <c r="F1" s="14"/>
      <c r="G1" s="14"/>
    </row>
    <row r="2" customFormat="false" ht="34.5" hidden="false" customHeight="true" outlineLevel="0" collapsed="false">
      <c r="B2" s="21" t="s">
        <v>57</v>
      </c>
      <c r="C2" s="21" t="s">
        <v>58</v>
      </c>
      <c r="D2" s="21" t="s">
        <v>59</v>
      </c>
      <c r="E2" s="21" t="s">
        <v>60</v>
      </c>
      <c r="F2" s="21" t="s">
        <v>61</v>
      </c>
      <c r="G2" s="21" t="s">
        <v>62</v>
      </c>
    </row>
    <row r="3" customFormat="false" ht="15" hidden="false" customHeight="false" outlineLevel="0" collapsed="false">
      <c r="B3" s="16" t="s">
        <v>63</v>
      </c>
      <c r="C3" s="17" t="n">
        <v>2500000</v>
      </c>
      <c r="D3" s="19" t="n">
        <v>0.087</v>
      </c>
      <c r="E3" s="17" t="n">
        <v>22000</v>
      </c>
      <c r="F3" s="22" t="n">
        <v>180</v>
      </c>
      <c r="G3" s="23" t="n">
        <f aca="false">IF(E3=0,0,E3*F3-C3)</f>
        <v>1460000</v>
      </c>
    </row>
    <row r="4" customFormat="false" ht="15" hidden="false" customHeight="false" outlineLevel="0" collapsed="false">
      <c r="B4" s="16" t="s">
        <v>64</v>
      </c>
      <c r="C4" s="17" t="n">
        <v>150000</v>
      </c>
      <c r="D4" s="19" t="n">
        <v>0.14</v>
      </c>
      <c r="E4" s="17" t="n">
        <v>5000</v>
      </c>
      <c r="F4" s="22" t="n">
        <v>36</v>
      </c>
      <c r="G4" s="23" t="n">
        <f aca="false">IF(E4=0,0,E4*F4-C4)</f>
        <v>30000</v>
      </c>
    </row>
    <row r="5" customFormat="false" ht="15" hidden="false" customHeight="false" outlineLevel="0" collapsed="false">
      <c r="B5" s="16" t="s">
        <v>65</v>
      </c>
      <c r="C5" s="17" t="n">
        <v>25000</v>
      </c>
      <c r="D5" s="19" t="n">
        <v>0.36</v>
      </c>
      <c r="E5" s="17" t="n">
        <v>5000</v>
      </c>
      <c r="F5" s="22" t="n">
        <v>6</v>
      </c>
      <c r="G5" s="23" t="n">
        <f aca="false">IF(E5=0,0,E5*F5-C5)</f>
        <v>5000</v>
      </c>
    </row>
    <row r="6" customFormat="false" ht="15" hidden="false" customHeight="false" outlineLevel="0" collapsed="false">
      <c r="B6" s="16" t="s">
        <v>66</v>
      </c>
      <c r="C6" s="17" t="n">
        <v>0</v>
      </c>
      <c r="D6" s="19" t="n">
        <v>0.09</v>
      </c>
      <c r="E6" s="17" t="n">
        <v>0</v>
      </c>
      <c r="F6" s="22" t="n">
        <v>0</v>
      </c>
      <c r="G6" s="23" t="n">
        <f aca="false">IF(E6=0,0,E6*F6-C6)</f>
        <v>0</v>
      </c>
    </row>
    <row r="7" customFormat="false" ht="15" hidden="false" customHeight="false" outlineLevel="0" collapsed="false">
      <c r="B7" s="16" t="s">
        <v>67</v>
      </c>
      <c r="C7" s="17" t="n">
        <v>300000</v>
      </c>
      <c r="D7" s="19" t="n">
        <v>0.095</v>
      </c>
      <c r="E7" s="17" t="n">
        <v>7500</v>
      </c>
      <c r="F7" s="22" t="n">
        <v>48</v>
      </c>
      <c r="G7" s="23" t="n">
        <f aca="false">IF(E7=0,0,E7*F7-C7)</f>
        <v>60000</v>
      </c>
    </row>
    <row r="8" customFormat="false" ht="15" hidden="false" customHeight="false" outlineLevel="0" collapsed="false">
      <c r="B8" s="16"/>
      <c r="C8" s="17" t="n">
        <v>0</v>
      </c>
      <c r="D8" s="19" t="n">
        <v>0</v>
      </c>
      <c r="E8" s="17" t="n">
        <v>0</v>
      </c>
      <c r="F8" s="22" t="n">
        <v>0</v>
      </c>
      <c r="G8" s="23" t="n">
        <f aca="false">IF(E8=0,0,E8*F8-C8)</f>
        <v>0</v>
      </c>
    </row>
    <row r="9" customFormat="false" ht="15" hidden="false" customHeight="false" outlineLevel="0" collapsed="false">
      <c r="B9" s="16"/>
      <c r="C9" s="17" t="n">
        <v>0</v>
      </c>
      <c r="D9" s="19" t="n">
        <v>0</v>
      </c>
      <c r="E9" s="17" t="n">
        <v>0</v>
      </c>
      <c r="F9" s="22" t="n">
        <v>0</v>
      </c>
      <c r="G9" s="23" t="n">
        <f aca="false">IF(E9=0,0,E9*F9-C9)</f>
        <v>0</v>
      </c>
    </row>
    <row r="11" customFormat="false" ht="15" hidden="false" customHeight="false" outlineLevel="0" collapsed="false">
      <c r="B11" s="3" t="s">
        <v>68</v>
      </c>
      <c r="C11" s="3"/>
      <c r="D11" s="3"/>
      <c r="E11" s="3"/>
      <c r="F11" s="3"/>
      <c r="G11" s="3"/>
    </row>
    <row r="12" customFormat="false" ht="15" hidden="false" customHeight="false" outlineLevel="0" collapsed="false">
      <c r="B12" s="15" t="s">
        <v>69</v>
      </c>
      <c r="C12" s="23" t="n">
        <f aca="false">SUM(C3:C10)</f>
        <v>2975000</v>
      </c>
    </row>
    <row r="13" customFormat="false" ht="15" hidden="false" customHeight="false" outlineLevel="0" collapsed="false">
      <c r="B13" s="15" t="s">
        <v>70</v>
      </c>
      <c r="C13" s="23" t="n">
        <f aca="false">SUM(E3:E10)</f>
        <v>39500</v>
      </c>
    </row>
    <row r="14" customFormat="false" ht="15" hidden="false" customHeight="false" outlineLevel="0" collapsed="false">
      <c r="B14" s="15" t="s">
        <v>62</v>
      </c>
      <c r="C14" s="23" t="n">
        <f aca="false">SUM(G3:G10)</f>
        <v>1555000</v>
      </c>
    </row>
    <row r="16" customFormat="false" ht="15" hidden="false" customHeight="false" outlineLevel="0" collapsed="false">
      <c r="B16" s="15" t="s">
        <v>71</v>
      </c>
      <c r="C16" s="24" t="n">
        <f aca="false">IF('📊 Income &amp; Profile'!C17=0,0,E13/'📊 Income &amp; Profile'!C17)</f>
        <v>0</v>
      </c>
    </row>
    <row r="17" customFormat="false" ht="15" hidden="false" customHeight="false" outlineLevel="0" collapsed="false">
      <c r="B17" s="15" t="s">
        <v>72</v>
      </c>
      <c r="C17" s="25" t="str">
        <f aca="false">IF(C16&lt;0.3,"✅ Healthy (&lt;30%)",IF(C16&lt;0.5,"⚠️ Watch (30-50%)","🔴 Danger (&gt;50%)"))</f>
        <v>✅ Healthy (&lt;30%)</v>
      </c>
    </row>
    <row r="20" customFormat="false" ht="15.75" hidden="false" customHeight="true" outlineLevel="0" collapsed="false">
      <c r="A20" s="13" t="s">
        <v>29</v>
      </c>
      <c r="B20" s="13"/>
      <c r="C20" s="13"/>
      <c r="D20" s="13"/>
      <c r="E20" s="13"/>
      <c r="F20" s="13"/>
      <c r="G20" s="13"/>
      <c r="H20" s="13"/>
    </row>
  </sheetData>
  <mergeCells count="3">
    <mergeCell ref="B1:G1"/>
    <mergeCell ref="B11:G11"/>
    <mergeCell ref="A20:H20"/>
  </mergeCells>
  <conditionalFormatting sqref="C16">
    <cfRule type="cellIs" priority="2" operator="lessThan" aboveAverage="0" equalAverage="0" bottom="0" percent="0" rank="0" text="" dxfId="0">
      <formula>0.3</formula>
    </cfRule>
    <cfRule type="cellIs" priority="3" operator="between" aboveAverage="0" equalAverage="0" bottom="0" percent="0" rank="0" text="" dxfId="1">
      <formula>0.3</formula>
      <formula>0.5</formula>
    </cfRule>
    <cfRule type="cellIs" priority="4" operator="greaterThan" aboveAverage="0" equalAverage="0" bottom="0" percent="0" rank="0" text="" dxfId="2">
      <formula>0.5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4" min="3" style="0" width="18"/>
    <col collapsed="false" customWidth="true" hidden="false" outlineLevel="0" max="5" min="5" style="0" width="16"/>
    <col collapsed="false" customWidth="true" hidden="false" outlineLevel="0" max="6" min="6" style="0" width="3"/>
  </cols>
  <sheetData>
    <row r="1" customFormat="false" ht="17.35" hidden="false" customHeight="true" outlineLevel="0" collapsed="false">
      <c r="B1" s="14" t="s">
        <v>73</v>
      </c>
      <c r="C1" s="14"/>
      <c r="D1" s="14"/>
      <c r="E1" s="14"/>
    </row>
    <row r="2" customFormat="false" ht="15" hidden="false" customHeight="false" outlineLevel="0" collapsed="false">
      <c r="B2" s="26" t="s">
        <v>74</v>
      </c>
      <c r="C2" s="26" t="s">
        <v>75</v>
      </c>
      <c r="D2" s="26" t="s">
        <v>76</v>
      </c>
      <c r="E2" s="26" t="s">
        <v>77</v>
      </c>
    </row>
    <row r="3" customFormat="false" ht="15" hidden="false" customHeight="false" outlineLevel="0" collapsed="false">
      <c r="B3" s="3" t="s">
        <v>78</v>
      </c>
      <c r="C3" s="3"/>
      <c r="D3" s="3"/>
      <c r="E3" s="3"/>
    </row>
    <row r="4" customFormat="false" ht="15" hidden="false" customHeight="false" outlineLevel="0" collapsed="false">
      <c r="B4" s="16" t="s">
        <v>79</v>
      </c>
      <c r="C4" s="17" t="n">
        <v>22000</v>
      </c>
      <c r="D4" s="17" t="n">
        <v>22000</v>
      </c>
      <c r="E4" s="23" t="n">
        <f aca="false">C4-D4</f>
        <v>0</v>
      </c>
    </row>
    <row r="5" customFormat="false" ht="15" hidden="false" customHeight="false" outlineLevel="0" collapsed="false">
      <c r="B5" s="16" t="s">
        <v>80</v>
      </c>
      <c r="C5" s="17" t="n">
        <v>17500</v>
      </c>
      <c r="D5" s="17" t="n">
        <v>17500</v>
      </c>
      <c r="E5" s="23" t="n">
        <f aca="false">C5-D5</f>
        <v>0</v>
      </c>
    </row>
    <row r="6" customFormat="false" ht="15" hidden="false" customHeight="false" outlineLevel="0" collapsed="false">
      <c r="B6" s="16" t="s">
        <v>81</v>
      </c>
      <c r="C6" s="17" t="n">
        <v>3000</v>
      </c>
      <c r="D6" s="17" t="n">
        <v>3000</v>
      </c>
      <c r="E6" s="23" t="n">
        <f aca="false">C6-D6</f>
        <v>0</v>
      </c>
    </row>
    <row r="7" customFormat="false" ht="15" hidden="false" customHeight="false" outlineLevel="0" collapsed="false">
      <c r="B7" s="16" t="s">
        <v>82</v>
      </c>
      <c r="C7" s="17" t="n">
        <v>1000</v>
      </c>
      <c r="D7" s="17" t="n">
        <v>1000</v>
      </c>
      <c r="E7" s="23" t="n">
        <f aca="false">C7-D7</f>
        <v>0</v>
      </c>
    </row>
    <row r="8" customFormat="false" ht="15" hidden="false" customHeight="false" outlineLevel="0" collapsed="false">
      <c r="B8" s="16" t="s">
        <v>83</v>
      </c>
      <c r="C8" s="17" t="n">
        <v>0</v>
      </c>
      <c r="D8" s="17" t="n">
        <v>0</v>
      </c>
      <c r="E8" s="23" t="n">
        <f aca="false">C8-D8</f>
        <v>0</v>
      </c>
    </row>
    <row r="9" customFormat="false" ht="15" hidden="false" customHeight="false" outlineLevel="0" collapsed="false">
      <c r="B9" s="16" t="s">
        <v>84</v>
      </c>
      <c r="C9" s="17" t="n">
        <v>1500</v>
      </c>
      <c r="D9" s="17" t="n">
        <v>1500</v>
      </c>
      <c r="E9" s="23" t="n">
        <f aca="false">C9-D9</f>
        <v>0</v>
      </c>
    </row>
    <row r="10" customFormat="false" ht="15" hidden="false" customHeight="false" outlineLevel="0" collapsed="false">
      <c r="B10" s="15" t="s">
        <v>85</v>
      </c>
      <c r="C10" s="23" t="n">
        <f aca="false">SUM(C4:C9)</f>
        <v>45000</v>
      </c>
      <c r="D10" s="23" t="n">
        <f aca="false">SUM(D4:D9)</f>
        <v>45000</v>
      </c>
      <c r="E10" s="23" t="n">
        <f aca="false">C10-D10</f>
        <v>0</v>
      </c>
    </row>
    <row r="12" customFormat="false" ht="15" hidden="false" customHeight="false" outlineLevel="0" collapsed="false">
      <c r="B12" s="3" t="s">
        <v>86</v>
      </c>
      <c r="C12" s="3"/>
      <c r="D12" s="3"/>
      <c r="E12" s="3"/>
    </row>
    <row r="13" customFormat="false" ht="15" hidden="false" customHeight="false" outlineLevel="0" collapsed="false">
      <c r="B13" s="16" t="s">
        <v>87</v>
      </c>
      <c r="C13" s="17" t="n">
        <v>6000</v>
      </c>
      <c r="D13" s="17" t="n">
        <v>7200</v>
      </c>
      <c r="E13" s="23" t="n">
        <f aca="false">C13-D13</f>
        <v>-1200</v>
      </c>
    </row>
    <row r="14" customFormat="false" ht="15" hidden="false" customHeight="false" outlineLevel="0" collapsed="false">
      <c r="B14" s="16" t="s">
        <v>88</v>
      </c>
      <c r="C14" s="17" t="n">
        <v>3000</v>
      </c>
      <c r="D14" s="17" t="n">
        <v>4500</v>
      </c>
      <c r="E14" s="23" t="n">
        <f aca="false">C14-D14</f>
        <v>-1500</v>
      </c>
    </row>
    <row r="15" customFormat="false" ht="15" hidden="false" customHeight="false" outlineLevel="0" collapsed="false">
      <c r="B15" s="16" t="s">
        <v>89</v>
      </c>
      <c r="C15" s="17" t="n">
        <v>2500</v>
      </c>
      <c r="D15" s="17" t="n">
        <v>2800</v>
      </c>
      <c r="E15" s="23" t="n">
        <f aca="false">C15-D15</f>
        <v>-300</v>
      </c>
    </row>
    <row r="16" customFormat="false" ht="15" hidden="false" customHeight="false" outlineLevel="0" collapsed="false">
      <c r="B16" s="16" t="s">
        <v>90</v>
      </c>
      <c r="C16" s="17" t="n">
        <v>2000</v>
      </c>
      <c r="D16" s="17" t="n">
        <v>3500</v>
      </c>
      <c r="E16" s="23" t="n">
        <f aca="false">C16-D16</f>
        <v>-1500</v>
      </c>
    </row>
    <row r="17" customFormat="false" ht="15" hidden="false" customHeight="false" outlineLevel="0" collapsed="false">
      <c r="B17" s="16" t="s">
        <v>91</v>
      </c>
      <c r="C17" s="17" t="n">
        <v>1000</v>
      </c>
      <c r="D17" s="17" t="n">
        <v>1200</v>
      </c>
      <c r="E17" s="23" t="n">
        <f aca="false">C17-D17</f>
        <v>-200</v>
      </c>
    </row>
    <row r="18" customFormat="false" ht="15" hidden="false" customHeight="false" outlineLevel="0" collapsed="false">
      <c r="B18" s="16" t="s">
        <v>92</v>
      </c>
      <c r="C18" s="17" t="n">
        <v>500</v>
      </c>
      <c r="D18" s="17" t="n">
        <v>800</v>
      </c>
      <c r="E18" s="23" t="n">
        <f aca="false">C18-D18</f>
        <v>-300</v>
      </c>
    </row>
    <row r="19" customFormat="false" ht="15" hidden="false" customHeight="false" outlineLevel="0" collapsed="false">
      <c r="B19" s="16" t="s">
        <v>93</v>
      </c>
      <c r="C19" s="17" t="n">
        <v>800</v>
      </c>
      <c r="D19" s="17" t="n">
        <v>1000</v>
      </c>
      <c r="E19" s="23" t="n">
        <f aca="false">C19-D19</f>
        <v>-200</v>
      </c>
    </row>
    <row r="20" customFormat="false" ht="15" hidden="false" customHeight="false" outlineLevel="0" collapsed="false">
      <c r="B20" s="15" t="s">
        <v>94</v>
      </c>
      <c r="C20" s="23" t="n">
        <f aca="false">SUM(C13:C19)</f>
        <v>15800</v>
      </c>
      <c r="D20" s="23" t="n">
        <f aca="false">SUM(D13:D19)</f>
        <v>21000</v>
      </c>
      <c r="E20" s="23" t="n">
        <f aca="false">C20-D20</f>
        <v>-5200</v>
      </c>
    </row>
    <row r="22" customFormat="false" ht="15" hidden="false" customHeight="false" outlineLevel="0" collapsed="false">
      <c r="B22" s="3" t="s">
        <v>95</v>
      </c>
      <c r="C22" s="3"/>
      <c r="D22" s="3"/>
      <c r="E22" s="3"/>
    </row>
    <row r="23" customFormat="false" ht="15" hidden="false" customHeight="false" outlineLevel="0" collapsed="false">
      <c r="B23" s="16" t="s">
        <v>96</v>
      </c>
      <c r="C23" s="17" t="n">
        <v>5000</v>
      </c>
      <c r="D23" s="17" t="n">
        <v>5000</v>
      </c>
      <c r="E23" s="23" t="n">
        <f aca="false">C23-D23</f>
        <v>0</v>
      </c>
    </row>
    <row r="24" customFormat="false" ht="15" hidden="false" customHeight="false" outlineLevel="0" collapsed="false">
      <c r="B24" s="16" t="s">
        <v>97</v>
      </c>
      <c r="C24" s="17" t="n">
        <v>2000</v>
      </c>
      <c r="D24" s="17" t="n">
        <v>2000</v>
      </c>
      <c r="E24" s="23" t="n">
        <f aca="false">C24-D24</f>
        <v>0</v>
      </c>
    </row>
    <row r="25" customFormat="false" ht="15" hidden="false" customHeight="false" outlineLevel="0" collapsed="false">
      <c r="B25" s="16" t="s">
        <v>98</v>
      </c>
      <c r="C25" s="17" t="n">
        <v>1000</v>
      </c>
      <c r="D25" s="17" t="n">
        <v>1000</v>
      </c>
      <c r="E25" s="23" t="n">
        <f aca="false">C25-D25</f>
        <v>0</v>
      </c>
    </row>
    <row r="26" customFormat="false" ht="15" hidden="false" customHeight="false" outlineLevel="0" collapsed="false">
      <c r="B26" s="16" t="s">
        <v>99</v>
      </c>
      <c r="C26" s="17" t="n">
        <v>0</v>
      </c>
      <c r="D26" s="17" t="n">
        <v>0</v>
      </c>
      <c r="E26" s="23" t="n">
        <f aca="false">C26-D26</f>
        <v>0</v>
      </c>
    </row>
    <row r="27" customFormat="false" ht="15" hidden="false" customHeight="false" outlineLevel="0" collapsed="false">
      <c r="B27" s="15" t="s">
        <v>100</v>
      </c>
      <c r="C27" s="23" t="n">
        <f aca="false">SUM(C23:C26)</f>
        <v>8000</v>
      </c>
      <c r="D27" s="23" t="n">
        <f aca="false">SUM(D23:D26)</f>
        <v>8000</v>
      </c>
    </row>
    <row r="29" customFormat="false" ht="15" hidden="false" customHeight="false" outlineLevel="0" collapsed="false">
      <c r="B29" s="3" t="s">
        <v>101</v>
      </c>
      <c r="C29" s="3"/>
      <c r="D29" s="3"/>
      <c r="E29" s="3"/>
    </row>
    <row r="30" customFormat="false" ht="15" hidden="false" customHeight="false" outlineLevel="0" collapsed="false">
      <c r="B30" s="15" t="s">
        <v>102</v>
      </c>
      <c r="C30" s="23" t="n">
        <f aca="false">'📊 Income &amp; Profile'!C17</f>
        <v>60000</v>
      </c>
    </row>
    <row r="31" customFormat="false" ht="15" hidden="false" customHeight="false" outlineLevel="0" collapsed="false">
      <c r="B31" s="15" t="s">
        <v>103</v>
      </c>
      <c r="C31" s="23" t="n">
        <f aca="false">C10+C20+C27</f>
        <v>68800</v>
      </c>
    </row>
    <row r="32" customFormat="false" ht="15" hidden="false" customHeight="false" outlineLevel="0" collapsed="false">
      <c r="B32" s="15" t="s">
        <v>104</v>
      </c>
      <c r="C32" s="23" t="n">
        <f aca="false">C30-C31</f>
        <v>-8800</v>
      </c>
    </row>
    <row r="33" customFormat="false" ht="15" hidden="false" customHeight="false" outlineLevel="0" collapsed="false">
      <c r="B33" s="15" t="s">
        <v>105</v>
      </c>
      <c r="C33" s="24" t="n">
        <f aca="false">IF(C30=0,0,C27/C30)</f>
        <v>0.133333333333333</v>
      </c>
    </row>
    <row r="35" customFormat="false" ht="15.75" hidden="false" customHeight="true" outlineLevel="0" collapsed="false">
      <c r="A35" s="13" t="s">
        <v>29</v>
      </c>
      <c r="B35" s="13"/>
      <c r="C35" s="13"/>
      <c r="D35" s="13"/>
      <c r="E35" s="13"/>
      <c r="F35" s="13"/>
    </row>
  </sheetData>
  <mergeCells count="6">
    <mergeCell ref="B1:E1"/>
    <mergeCell ref="B3:E3"/>
    <mergeCell ref="B12:E12"/>
    <mergeCell ref="B22:E22"/>
    <mergeCell ref="B29:E29"/>
    <mergeCell ref="A35:F35"/>
  </mergeCells>
  <conditionalFormatting sqref="C32">
    <cfRule type="cellIs" priority="2" operator="greaterThan" aboveAverage="0" equalAverage="0" bottom="0" percent="0" rank="0" text="" dxfId="0">
      <formula>0</formula>
    </cfRule>
    <cfRule type="cellIs" priority="3" operator="lessThan" aboveAverage="0" equalAverage="0" bottom="0" percent="0" rank="0" text="" dxfId="2">
      <formula>0</formula>
    </cfRule>
  </conditionalFormatting>
  <conditionalFormatting sqref="C33">
    <cfRule type="cellIs" priority="4" operator="greaterThan" aboveAverage="0" equalAverage="0" bottom="0" percent="0" rank="0" text="" dxfId="0">
      <formula>0.2</formula>
    </cfRule>
    <cfRule type="cellIs" priority="5" operator="between" aboveAverage="0" equalAverage="0" bottom="0" percent="0" rank="0" text="" dxfId="1">
      <formula>0.1</formula>
      <formula>0.2</formula>
    </cfRule>
    <cfRule type="cellIs" priority="6" operator="lessThan" aboveAverage="0" equalAverage="0" bottom="0" percent="0" rank="0" text="" dxfId="2">
      <formula>0.1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8"/>
    <col collapsed="false" customWidth="true" hidden="false" outlineLevel="0" max="4" min="3" style="0" width="16"/>
    <col collapsed="false" customWidth="true" hidden="false" outlineLevel="0" max="8" min="5" style="0" width="18"/>
    <col collapsed="false" customWidth="true" hidden="false" outlineLevel="0" max="9" min="9" style="0" width="3"/>
  </cols>
  <sheetData>
    <row r="1" customFormat="false" ht="16.15" hidden="false" customHeight="true" outlineLevel="0" collapsed="false">
      <c r="B1" s="27" t="s">
        <v>106</v>
      </c>
      <c r="C1" s="27"/>
      <c r="D1" s="27"/>
      <c r="E1" s="27"/>
      <c r="F1" s="27"/>
      <c r="G1" s="27"/>
      <c r="H1" s="27"/>
    </row>
    <row r="2" customFormat="false" ht="34.5" hidden="false" customHeight="true" outlineLevel="0" collapsed="false">
      <c r="B2" s="28" t="s">
        <v>74</v>
      </c>
      <c r="C2" s="28" t="s">
        <v>107</v>
      </c>
      <c r="D2" s="28" t="s">
        <v>108</v>
      </c>
      <c r="E2" s="28" t="s">
        <v>109</v>
      </c>
      <c r="F2" s="28" t="s">
        <v>110</v>
      </c>
      <c r="G2" s="28" t="s">
        <v>111</v>
      </c>
      <c r="H2" s="28" t="s">
        <v>112</v>
      </c>
    </row>
    <row r="3" customFormat="false" ht="15" hidden="false" customHeight="false" outlineLevel="0" collapsed="false">
      <c r="B3" s="16" t="s">
        <v>113</v>
      </c>
      <c r="C3" s="17" t="n">
        <v>2500</v>
      </c>
      <c r="D3" s="23" t="n">
        <f aca="false">C3*12</f>
        <v>30000</v>
      </c>
      <c r="E3" s="23" t="n">
        <f aca="false">IF(C3=0,0,ROUND(C3*(((1+0.12/12)^60-1)/(0.12/12)),0))</f>
        <v>204174</v>
      </c>
      <c r="F3" s="23" t="n">
        <f aca="false">IF(C3=0,0,ROUND(C3*(((1+0.12/12)^120-1)/(0.12/12)),0))</f>
        <v>575097</v>
      </c>
      <c r="G3" s="23" t="n">
        <f aca="false">IF(C3=0,0,ROUND(C3*(((1+0.12/12)^240-1)/(0.12/12)),0))</f>
        <v>2473138</v>
      </c>
      <c r="H3" s="23" t="n">
        <f aca="false">IF(C3=0,0,ROUND(C3*(((1+0.12/12)^360-1)/(0.12/12)),0))</f>
        <v>8737410</v>
      </c>
    </row>
    <row r="4" customFormat="false" ht="15" hidden="false" customHeight="false" outlineLevel="0" collapsed="false">
      <c r="B4" s="16" t="s">
        <v>114</v>
      </c>
      <c r="C4" s="17" t="n">
        <v>1200</v>
      </c>
      <c r="D4" s="23" t="n">
        <f aca="false">C4*12</f>
        <v>14400</v>
      </c>
      <c r="E4" s="23" t="n">
        <f aca="false">IF(C4=0,0,ROUND(C4*(((1+0.12/12)^60-1)/(0.12/12)),0))</f>
        <v>98004</v>
      </c>
      <c r="F4" s="23" t="n">
        <f aca="false">IF(C4=0,0,ROUND(C4*(((1+0.12/12)^120-1)/(0.12/12)),0))</f>
        <v>276046</v>
      </c>
      <c r="G4" s="23" t="n">
        <f aca="false">IF(C4=0,0,ROUND(C4*(((1+0.12/12)^240-1)/(0.12/12)),0))</f>
        <v>1187106</v>
      </c>
      <c r="H4" s="23" t="n">
        <f aca="false">IF(C4=0,0,ROUND(C4*(((1+0.12/12)^360-1)/(0.12/12)),0))</f>
        <v>4193957</v>
      </c>
    </row>
    <row r="5" customFormat="false" ht="15" hidden="false" customHeight="false" outlineLevel="0" collapsed="false">
      <c r="B5" s="16" t="s">
        <v>115</v>
      </c>
      <c r="C5" s="17" t="n">
        <v>800</v>
      </c>
      <c r="D5" s="23" t="n">
        <f aca="false">C5*12</f>
        <v>9600</v>
      </c>
      <c r="E5" s="23" t="n">
        <f aca="false">IF(C5=0,0,ROUND(C5*(((1+0.12/12)^60-1)/(0.12/12)),0))</f>
        <v>65336</v>
      </c>
      <c r="F5" s="23" t="n">
        <f aca="false">IF(C5=0,0,ROUND(C5*(((1+0.12/12)^120-1)/(0.12/12)),0))</f>
        <v>184031</v>
      </c>
      <c r="G5" s="23" t="n">
        <f aca="false">IF(C5=0,0,ROUND(C5*(((1+0.12/12)^240-1)/(0.12/12)),0))</f>
        <v>791404</v>
      </c>
      <c r="H5" s="23" t="n">
        <f aca="false">IF(C5=0,0,ROUND(C5*(((1+0.12/12)^360-1)/(0.12/12)),0))</f>
        <v>2795971</v>
      </c>
    </row>
    <row r="6" customFormat="false" ht="15" hidden="false" customHeight="false" outlineLevel="0" collapsed="false">
      <c r="B6" s="16" t="s">
        <v>116</v>
      </c>
      <c r="C6" s="17" t="n">
        <v>2000</v>
      </c>
      <c r="D6" s="23" t="n">
        <f aca="false">C6*12</f>
        <v>24000</v>
      </c>
      <c r="E6" s="23" t="n">
        <f aca="false">IF(C6=0,0,ROUND(C6*(((1+0.12/12)^60-1)/(0.12/12)),0))</f>
        <v>163339</v>
      </c>
      <c r="F6" s="23" t="n">
        <f aca="false">IF(C6=0,0,ROUND(C6*(((1+0.12/12)^120-1)/(0.12/12)),0))</f>
        <v>460077</v>
      </c>
      <c r="G6" s="23" t="n">
        <f aca="false">IF(C6=0,0,ROUND(C6*(((1+0.12/12)^240-1)/(0.12/12)),0))</f>
        <v>1978511</v>
      </c>
      <c r="H6" s="23" t="n">
        <f aca="false">IF(C6=0,0,ROUND(C6*(((1+0.12/12)^360-1)/(0.12/12)),0))</f>
        <v>6989928</v>
      </c>
    </row>
    <row r="7" customFormat="false" ht="15" hidden="false" customHeight="false" outlineLevel="0" collapsed="false">
      <c r="B7" s="16" t="s">
        <v>117</v>
      </c>
      <c r="C7" s="17" t="n">
        <v>600</v>
      </c>
      <c r="D7" s="23" t="n">
        <f aca="false">C7*12</f>
        <v>7200</v>
      </c>
      <c r="E7" s="23" t="n">
        <f aca="false">IF(C7=0,0,ROUND(C7*(((1+0.12/12)^60-1)/(0.12/12)),0))</f>
        <v>49002</v>
      </c>
      <c r="F7" s="23" t="n">
        <f aca="false">IF(C7=0,0,ROUND(C7*(((1+0.12/12)^120-1)/(0.12/12)),0))</f>
        <v>138023</v>
      </c>
      <c r="G7" s="23" t="n">
        <f aca="false">IF(C7=0,0,ROUND(C7*(((1+0.12/12)^240-1)/(0.12/12)),0))</f>
        <v>593553</v>
      </c>
      <c r="H7" s="23" t="n">
        <f aca="false">IF(C7=0,0,ROUND(C7*(((1+0.12/12)^360-1)/(0.12/12)),0))</f>
        <v>2096978</v>
      </c>
    </row>
    <row r="8" customFormat="false" ht="15" hidden="false" customHeight="false" outlineLevel="0" collapsed="false">
      <c r="B8" s="16" t="s">
        <v>118</v>
      </c>
      <c r="C8" s="17" t="n">
        <v>1500</v>
      </c>
      <c r="D8" s="23" t="n">
        <f aca="false">C8*12</f>
        <v>18000</v>
      </c>
      <c r="E8" s="23" t="n">
        <f aca="false">IF(C8=0,0,ROUND(C8*(((1+0.12/12)^60-1)/(0.12/12)),0))</f>
        <v>122505</v>
      </c>
      <c r="F8" s="23" t="n">
        <f aca="false">IF(C8=0,0,ROUND(C8*(((1+0.12/12)^120-1)/(0.12/12)),0))</f>
        <v>345058</v>
      </c>
      <c r="G8" s="23" t="n">
        <f aca="false">IF(C8=0,0,ROUND(C8*(((1+0.12/12)^240-1)/(0.12/12)),0))</f>
        <v>1483883</v>
      </c>
      <c r="H8" s="23" t="n">
        <f aca="false">IF(C8=0,0,ROUND(C8*(((1+0.12/12)^360-1)/(0.12/12)),0))</f>
        <v>5242446</v>
      </c>
    </row>
    <row r="9" customFormat="false" ht="15" hidden="false" customHeight="false" outlineLevel="0" collapsed="false">
      <c r="B9" s="16" t="s">
        <v>119</v>
      </c>
      <c r="C9" s="17" t="n">
        <v>1500</v>
      </c>
      <c r="D9" s="23" t="n">
        <f aca="false">C9*12</f>
        <v>18000</v>
      </c>
      <c r="E9" s="23" t="n">
        <f aca="false">IF(C9=0,0,ROUND(C9*(((1+0.12/12)^60-1)/(0.12/12)),0))</f>
        <v>122505</v>
      </c>
      <c r="F9" s="23" t="n">
        <f aca="false">IF(C9=0,0,ROUND(C9*(((1+0.12/12)^120-1)/(0.12/12)),0))</f>
        <v>345058</v>
      </c>
      <c r="G9" s="23" t="n">
        <f aca="false">IF(C9=0,0,ROUND(C9*(((1+0.12/12)^240-1)/(0.12/12)),0))</f>
        <v>1483883</v>
      </c>
      <c r="H9" s="23" t="n">
        <f aca="false">IF(C9=0,0,ROUND(C9*(((1+0.12/12)^360-1)/(0.12/12)),0))</f>
        <v>5242446</v>
      </c>
    </row>
    <row r="10" customFormat="false" ht="15" hidden="false" customHeight="false" outlineLevel="0" collapsed="false">
      <c r="B10" s="16" t="s">
        <v>120</v>
      </c>
      <c r="C10" s="17" t="n">
        <v>1000</v>
      </c>
      <c r="D10" s="23" t="n">
        <f aca="false">C10*12</f>
        <v>12000</v>
      </c>
      <c r="E10" s="23" t="n">
        <f aca="false">IF(C10=0,0,ROUND(C10*(((1+0.12/12)^60-1)/(0.12/12)),0))</f>
        <v>81670</v>
      </c>
      <c r="F10" s="23" t="n">
        <f aca="false">IF(C10=0,0,ROUND(C10*(((1+0.12/12)^120-1)/(0.12/12)),0))</f>
        <v>230039</v>
      </c>
      <c r="G10" s="23" t="n">
        <f aca="false">IF(C10=0,0,ROUND(C10*(((1+0.12/12)^240-1)/(0.12/12)),0))</f>
        <v>989255</v>
      </c>
      <c r="H10" s="23" t="n">
        <f aca="false">IF(C10=0,0,ROUND(C10*(((1+0.12/12)^360-1)/(0.12/12)),0))</f>
        <v>3494964</v>
      </c>
    </row>
    <row r="11" customFormat="false" ht="15" hidden="false" customHeight="false" outlineLevel="0" collapsed="false">
      <c r="B11" s="16" t="s">
        <v>121</v>
      </c>
      <c r="C11" s="17" t="n">
        <v>0</v>
      </c>
      <c r="D11" s="23" t="n">
        <f aca="false">C11*12</f>
        <v>0</v>
      </c>
      <c r="E11" s="23" t="n">
        <f aca="false">IF(C11=0,0,ROUND(C11*(((1+0.12/12)^60-1)/(0.12/12)),0))</f>
        <v>0</v>
      </c>
      <c r="F11" s="23" t="n">
        <f aca="false">IF(C11=0,0,ROUND(C11*(((1+0.12/12)^120-1)/(0.12/12)),0))</f>
        <v>0</v>
      </c>
      <c r="G11" s="23" t="n">
        <f aca="false">IF(C11=0,0,ROUND(C11*(((1+0.12/12)^240-1)/(0.12/12)),0))</f>
        <v>0</v>
      </c>
      <c r="H11" s="23" t="n">
        <f aca="false">IF(C11=0,0,ROUND(C11*(((1+0.12/12)^360-1)/(0.12/12)),0))</f>
        <v>0</v>
      </c>
    </row>
    <row r="12" customFormat="false" ht="15" hidden="false" customHeight="false" outlineLevel="0" collapsed="false">
      <c r="B12" s="16" t="s">
        <v>122</v>
      </c>
      <c r="C12" s="17" t="n">
        <v>0</v>
      </c>
      <c r="D12" s="23" t="n">
        <f aca="false">C12*12</f>
        <v>0</v>
      </c>
      <c r="E12" s="23" t="n">
        <f aca="false">IF(C12=0,0,ROUND(C12*(((1+0.12/12)^60-1)/(0.12/12)),0))</f>
        <v>0</v>
      </c>
      <c r="F12" s="23" t="n">
        <f aca="false">IF(C12=0,0,ROUND(C12*(((1+0.12/12)^120-1)/(0.12/12)),0))</f>
        <v>0</v>
      </c>
      <c r="G12" s="23" t="n">
        <f aca="false">IF(C12=0,0,ROUND(C12*(((1+0.12/12)^240-1)/(0.12/12)),0))</f>
        <v>0</v>
      </c>
      <c r="H12" s="23" t="n">
        <f aca="false">IF(C12=0,0,ROUND(C12*(((1+0.12/12)^360-1)/(0.12/12)),0))</f>
        <v>0</v>
      </c>
    </row>
    <row r="13" customFormat="false" ht="15" hidden="false" customHeight="false" outlineLevel="0" collapsed="false">
      <c r="B13" s="15" t="s">
        <v>123</v>
      </c>
      <c r="C13" s="23" t="n">
        <f aca="false">SUM(C3:C12)</f>
        <v>11100</v>
      </c>
      <c r="D13" s="23" t="n">
        <f aca="false">SUM(D3:D12)</f>
        <v>133200</v>
      </c>
      <c r="E13" s="23" t="n">
        <f aca="false">SUM(E3:E12)</f>
        <v>906535</v>
      </c>
      <c r="F13" s="23" t="n">
        <f aca="false">SUM(F3:F12)</f>
        <v>2553429</v>
      </c>
      <c r="G13" s="23" t="n">
        <f aca="false">SUM(G3:G12)</f>
        <v>10980733</v>
      </c>
      <c r="H13" s="23" t="n">
        <f aca="false">SUM(H3:H12)</f>
        <v>38794100</v>
      </c>
    </row>
    <row r="15" customFormat="false" ht="15" hidden="false" customHeight="false" outlineLevel="0" collapsed="false">
      <c r="B15" s="20" t="s">
        <v>124</v>
      </c>
      <c r="C15" s="20"/>
      <c r="D15" s="20"/>
      <c r="E15" s="20"/>
      <c r="F15" s="20"/>
      <c r="G15" s="20"/>
      <c r="H15" s="20"/>
    </row>
    <row r="17" customFormat="false" ht="15.75" hidden="false" customHeight="true" outlineLevel="0" collapsed="false">
      <c r="A17" s="13" t="s">
        <v>29</v>
      </c>
      <c r="B17" s="13"/>
      <c r="C17" s="13"/>
      <c r="D17" s="13"/>
      <c r="E17" s="13"/>
      <c r="F17" s="13"/>
      <c r="G17" s="13"/>
      <c r="H17" s="13"/>
      <c r="I17" s="13"/>
    </row>
  </sheetData>
  <mergeCells count="3">
    <mergeCell ref="B1:H1"/>
    <mergeCell ref="B15:H15"/>
    <mergeCell ref="A17:I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4" min="3" style="0" width="22"/>
    <col collapsed="false" customWidth="true" hidden="false" outlineLevel="0" max="5" min="5" style="0" width="3"/>
  </cols>
  <sheetData>
    <row r="1" customFormat="false" ht="17.35" hidden="false" customHeight="true" outlineLevel="0" collapsed="false">
      <c r="B1" s="14" t="s">
        <v>125</v>
      </c>
      <c r="C1" s="14"/>
      <c r="D1" s="14"/>
    </row>
    <row r="2" customFormat="false" ht="15" hidden="false" customHeight="false" outlineLevel="0" collapsed="false">
      <c r="B2" s="3" t="s">
        <v>126</v>
      </c>
      <c r="C2" s="3"/>
      <c r="D2" s="3"/>
    </row>
    <row r="3" customFormat="false" ht="15" hidden="false" customHeight="false" outlineLevel="0" collapsed="false">
      <c r="B3" s="15" t="s">
        <v>127</v>
      </c>
      <c r="C3" s="17" t="n">
        <v>35000</v>
      </c>
    </row>
    <row r="4" customFormat="false" ht="15" hidden="false" customHeight="false" outlineLevel="0" collapsed="false">
      <c r="B4" s="15" t="s">
        <v>128</v>
      </c>
      <c r="C4" s="16" t="s">
        <v>39</v>
      </c>
    </row>
    <row r="5" customFormat="false" ht="15" hidden="false" customHeight="false" outlineLevel="0" collapsed="false">
      <c r="B5" s="15" t="s">
        <v>129</v>
      </c>
      <c r="C5" s="29" t="n">
        <f aca="false">IF(C4="Salaried",6,IF(C4="Freelancer",10,12))</f>
        <v>6</v>
      </c>
    </row>
    <row r="6" customFormat="false" ht="15" hidden="false" customHeight="false" outlineLevel="0" collapsed="false">
      <c r="B6" s="15" t="s">
        <v>130</v>
      </c>
      <c r="C6" s="23" t="n">
        <f aca="false">C3*C5</f>
        <v>210000</v>
      </c>
    </row>
    <row r="7" customFormat="false" ht="15" hidden="false" customHeight="false" outlineLevel="0" collapsed="false">
      <c r="B7" s="15" t="s">
        <v>131</v>
      </c>
      <c r="C7" s="17" t="n">
        <v>50000</v>
      </c>
    </row>
    <row r="8" customFormat="false" ht="15" hidden="false" customHeight="false" outlineLevel="0" collapsed="false">
      <c r="B8" s="15" t="s">
        <v>132</v>
      </c>
      <c r="C8" s="23" t="n">
        <f aca="false">MAX(0,C6-C7)</f>
        <v>160000</v>
      </c>
    </row>
    <row r="9" customFormat="false" ht="15" hidden="false" customHeight="false" outlineLevel="0" collapsed="false">
      <c r="B9" s="15" t="s">
        <v>133</v>
      </c>
      <c r="C9" s="30" t="n">
        <f aca="false">MIN(1,C7/C6)</f>
        <v>0.238095238095238</v>
      </c>
    </row>
    <row r="10" customFormat="false" ht="15" hidden="false" customHeight="false" outlineLevel="0" collapsed="false">
      <c r="B10" s="15" t="s">
        <v>134</v>
      </c>
      <c r="C10" s="25" t="str">
        <f aca="false">IF(C9&gt;=1,"✅ Fully Funded",IF(C9&gt;=0.5,"⚠️ Building","🔴 Critical – Build Now"))</f>
        <v>🔴 Critical – Build Now</v>
      </c>
    </row>
    <row r="12" customFormat="false" ht="15" hidden="false" customHeight="false" outlineLevel="0" collapsed="false">
      <c r="B12" s="3" t="s">
        <v>135</v>
      </c>
      <c r="C12" s="3"/>
      <c r="D12" s="3"/>
    </row>
    <row r="13" customFormat="false" ht="15" hidden="false" customHeight="false" outlineLevel="0" collapsed="false">
      <c r="B13" s="31" t="s">
        <v>136</v>
      </c>
      <c r="C13" s="31" t="s">
        <v>137</v>
      </c>
    </row>
    <row r="14" customFormat="false" ht="15" hidden="false" customHeight="false" outlineLevel="0" collapsed="false">
      <c r="B14" s="16" t="s">
        <v>138</v>
      </c>
      <c r="C14" s="17" t="n">
        <v>10000</v>
      </c>
    </row>
    <row r="15" customFormat="false" ht="15" hidden="false" customHeight="false" outlineLevel="0" collapsed="false">
      <c r="B15" s="16" t="s">
        <v>139</v>
      </c>
      <c r="C15" s="17" t="n">
        <v>15000</v>
      </c>
    </row>
    <row r="16" customFormat="false" ht="15" hidden="false" customHeight="false" outlineLevel="0" collapsed="false">
      <c r="B16" s="16" t="s">
        <v>140</v>
      </c>
      <c r="C16" s="17" t="n">
        <v>20000</v>
      </c>
    </row>
    <row r="17" customFormat="false" ht="15" hidden="false" customHeight="false" outlineLevel="0" collapsed="false">
      <c r="B17" s="16" t="s">
        <v>141</v>
      </c>
      <c r="C17" s="17" t="n">
        <v>25000</v>
      </c>
    </row>
    <row r="18" customFormat="false" ht="15" hidden="false" customHeight="false" outlineLevel="0" collapsed="false">
      <c r="B18" s="16" t="s">
        <v>142</v>
      </c>
      <c r="C18" s="17" t="n">
        <v>30000</v>
      </c>
    </row>
    <row r="19" customFormat="false" ht="15" hidden="false" customHeight="false" outlineLevel="0" collapsed="false">
      <c r="B19" s="16" t="s">
        <v>143</v>
      </c>
      <c r="C19" s="17" t="n">
        <v>35000</v>
      </c>
    </row>
    <row r="20" customFormat="false" ht="15" hidden="false" customHeight="false" outlineLevel="0" collapsed="false">
      <c r="B20" s="16" t="s">
        <v>144</v>
      </c>
      <c r="C20" s="17" t="n">
        <v>35000</v>
      </c>
    </row>
    <row r="21" customFormat="false" ht="15" hidden="false" customHeight="false" outlineLevel="0" collapsed="false">
      <c r="B21" s="16" t="s">
        <v>145</v>
      </c>
      <c r="C21" s="17" t="n">
        <v>40000</v>
      </c>
    </row>
    <row r="22" customFormat="false" ht="15" hidden="false" customHeight="false" outlineLevel="0" collapsed="false">
      <c r="B22" s="16" t="s">
        <v>146</v>
      </c>
      <c r="C22" s="17" t="n">
        <v>42000</v>
      </c>
    </row>
    <row r="23" customFormat="false" ht="15" hidden="false" customHeight="false" outlineLevel="0" collapsed="false">
      <c r="B23" s="16" t="s">
        <v>147</v>
      </c>
      <c r="C23" s="17" t="n">
        <v>45000</v>
      </c>
    </row>
    <row r="24" customFormat="false" ht="15" hidden="false" customHeight="false" outlineLevel="0" collapsed="false">
      <c r="B24" s="16" t="s">
        <v>148</v>
      </c>
      <c r="C24" s="17" t="n">
        <v>47000</v>
      </c>
    </row>
    <row r="25" customFormat="false" ht="15" hidden="false" customHeight="false" outlineLevel="0" collapsed="false">
      <c r="B25" s="16" t="s">
        <v>149</v>
      </c>
      <c r="C25" s="17" t="n">
        <v>50000</v>
      </c>
    </row>
    <row r="26" customFormat="false" ht="15" hidden="false" customHeight="false" outlineLevel="0" collapsed="false">
      <c r="B26" s="16" t="s">
        <v>150</v>
      </c>
      <c r="C26" s="17" t="n">
        <v>50000</v>
      </c>
    </row>
    <row r="27" customFormat="false" ht="15" hidden="false" customHeight="false" outlineLevel="0" collapsed="false">
      <c r="B27" s="16" t="s">
        <v>151</v>
      </c>
      <c r="C27" s="17"/>
    </row>
    <row r="28" customFormat="false" ht="15" hidden="false" customHeight="false" outlineLevel="0" collapsed="false">
      <c r="B28" s="16" t="s">
        <v>152</v>
      </c>
      <c r="C28" s="17"/>
    </row>
    <row r="29" customFormat="false" ht="15" hidden="false" customHeight="false" outlineLevel="0" collapsed="false">
      <c r="B29" s="16" t="s">
        <v>153</v>
      </c>
      <c r="C29" s="17"/>
    </row>
    <row r="30" customFormat="false" ht="15" hidden="false" customHeight="false" outlineLevel="0" collapsed="false">
      <c r="B30" s="16" t="s">
        <v>154</v>
      </c>
      <c r="C30" s="17"/>
    </row>
    <row r="31" customFormat="false" ht="15" hidden="false" customHeight="false" outlineLevel="0" collapsed="false">
      <c r="B31" s="16" t="s">
        <v>155</v>
      </c>
      <c r="C31" s="17"/>
    </row>
    <row r="32" customFormat="false" ht="15" hidden="false" customHeight="false" outlineLevel="0" collapsed="false">
      <c r="B32" s="16" t="s">
        <v>156</v>
      </c>
      <c r="C32" s="17"/>
    </row>
    <row r="33" customFormat="false" ht="15" hidden="false" customHeight="false" outlineLevel="0" collapsed="false">
      <c r="B33" s="16" t="s">
        <v>157</v>
      </c>
      <c r="C33" s="17"/>
    </row>
    <row r="34" customFormat="false" ht="15" hidden="false" customHeight="false" outlineLevel="0" collapsed="false">
      <c r="B34" s="16" t="s">
        <v>158</v>
      </c>
      <c r="C34" s="17"/>
    </row>
    <row r="35" customFormat="false" ht="15" hidden="false" customHeight="false" outlineLevel="0" collapsed="false">
      <c r="B35" s="16" t="s">
        <v>159</v>
      </c>
      <c r="C35" s="17"/>
    </row>
    <row r="36" customFormat="false" ht="15" hidden="false" customHeight="false" outlineLevel="0" collapsed="false">
      <c r="B36" s="16" t="s">
        <v>160</v>
      </c>
      <c r="C36" s="17"/>
    </row>
    <row r="37" customFormat="false" ht="15" hidden="false" customHeight="false" outlineLevel="0" collapsed="false">
      <c r="B37" s="16" t="s">
        <v>161</v>
      </c>
      <c r="C37" s="17"/>
    </row>
    <row r="39" customFormat="false" ht="15.75" hidden="false" customHeight="true" outlineLevel="0" collapsed="false">
      <c r="A39" s="13" t="s">
        <v>29</v>
      </c>
      <c r="B39" s="13"/>
      <c r="C39" s="13"/>
      <c r="D39" s="13"/>
      <c r="E39" s="13"/>
    </row>
  </sheetData>
  <mergeCells count="4">
    <mergeCell ref="B1:D1"/>
    <mergeCell ref="B2:D2"/>
    <mergeCell ref="B12:D12"/>
    <mergeCell ref="A39:E39"/>
  </mergeCells>
  <conditionalFormatting sqref="C9">
    <cfRule type="cellIs" priority="2" operator="greaterThan" aboveAverage="0" equalAverage="0" bottom="0" percent="0" rank="0" text="" dxfId="0">
      <formula>0.8</formula>
    </cfRule>
    <cfRule type="cellIs" priority="3" operator="between" aboveAverage="0" equalAverage="0" bottom="0" percent="0" rank="0" text="" dxfId="1">
      <formula>0.4</formula>
      <formula>0.8</formula>
    </cfRule>
    <cfRule type="cellIs" priority="4" operator="lessThan" aboveAverage="0" equalAverage="0" bottom="0" percent="0" rank="0" text="" dxfId="2">
      <formula>0.4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4"/>
    <col collapsed="false" customWidth="true" hidden="false" outlineLevel="0" max="4" min="3" style="0" width="16"/>
    <col collapsed="false" customWidth="true" hidden="false" outlineLevel="0" max="5" min="5" style="0" width="14"/>
    <col collapsed="false" customWidth="true" hidden="false" outlineLevel="0" max="6" min="6" style="0" width="18"/>
    <col collapsed="false" customWidth="true" hidden="false" outlineLevel="0" max="7" min="7" style="0" width="16"/>
    <col collapsed="false" customWidth="true" hidden="false" outlineLevel="0" max="8" min="8" style="0" width="3"/>
  </cols>
  <sheetData>
    <row r="1" customFormat="false" ht="17.35" hidden="false" customHeight="true" outlineLevel="0" collapsed="false">
      <c r="B1" s="14" t="s">
        <v>162</v>
      </c>
      <c r="C1" s="14"/>
      <c r="D1" s="14"/>
      <c r="E1" s="14"/>
      <c r="F1" s="14"/>
      <c r="G1" s="14"/>
    </row>
    <row r="2" customFormat="false" ht="34.5" hidden="false" customHeight="true" outlineLevel="0" collapsed="false">
      <c r="B2" s="28" t="s">
        <v>163</v>
      </c>
      <c r="C2" s="28" t="s">
        <v>164</v>
      </c>
      <c r="D2" s="28" t="s">
        <v>165</v>
      </c>
      <c r="E2" s="28" t="s">
        <v>166</v>
      </c>
      <c r="F2" s="28" t="s">
        <v>167</v>
      </c>
      <c r="G2" s="28" t="s">
        <v>168</v>
      </c>
    </row>
    <row r="3" customFormat="false" ht="15" hidden="false" customHeight="false" outlineLevel="0" collapsed="false">
      <c r="B3" s="16" t="s">
        <v>169</v>
      </c>
      <c r="C3" s="17" t="n">
        <v>210000</v>
      </c>
      <c r="D3" s="17" t="n">
        <v>50000</v>
      </c>
      <c r="E3" s="16" t="s">
        <v>170</v>
      </c>
      <c r="F3" s="23" t="n">
        <f aca="true">IF(OR(C3=0,E3=""),0,MAX(0,(C3-D3)/MAX(1,(YEAR(DATE(LEFT(E3,4),MID(E3,6,2),1))-YEAR(TODAY()))*12+(MONTH(DATE(LEFT(E3,4),MID(E3,6,2),1))-MONTH(TODAY())))))</f>
        <v>32000</v>
      </c>
      <c r="G3" s="30" t="n">
        <f aca="false">IF(C3=0,0,MIN(1,D3/C3))</f>
        <v>0.238095238095238</v>
      </c>
    </row>
    <row r="4" customFormat="false" ht="15" hidden="false" customHeight="false" outlineLevel="0" collapsed="false">
      <c r="B4" s="16" t="s">
        <v>171</v>
      </c>
      <c r="C4" s="17" t="n">
        <v>150000</v>
      </c>
      <c r="D4" s="17" t="n">
        <v>20000</v>
      </c>
      <c r="E4" s="16" t="s">
        <v>172</v>
      </c>
      <c r="F4" s="23" t="n">
        <f aca="true">IF(OR(C4=0,E4=""),0,MAX(0,(C4-D4)/MAX(1,(YEAR(DATE(LEFT(E4,4),MID(E4,6,2),1))-YEAR(TODAY()))*12+(MONTH(DATE(LEFT(E4,4),MID(E4,6,2),1))-MONTH(TODAY())))))</f>
        <v>14444.4444444444</v>
      </c>
      <c r="G4" s="30" t="n">
        <f aca="false">IF(C4=0,0,MIN(1,D4/C4))</f>
        <v>0.133333333333333</v>
      </c>
    </row>
    <row r="5" customFormat="false" ht="15" hidden="false" customHeight="false" outlineLevel="0" collapsed="false">
      <c r="B5" s="16" t="s">
        <v>173</v>
      </c>
      <c r="C5" s="17" t="n">
        <v>200000</v>
      </c>
      <c r="D5" s="17" t="n">
        <v>0</v>
      </c>
      <c r="E5" s="16" t="s">
        <v>174</v>
      </c>
      <c r="F5" s="23" t="n">
        <f aca="true">IF(OR(C5=0,E5=""),0,MAX(0,(C5-D5)/MAX(1,(YEAR(DATE(LEFT(E5,4),MID(E5,6,2),1))-YEAR(TODAY()))*12+(MONTH(DATE(LEFT(E5,4),MID(E5,6,2),1))-MONTH(TODAY())))))</f>
        <v>14285.7142857143</v>
      </c>
      <c r="G5" s="30" t="n">
        <f aca="false">IF(C5=0,0,MIN(1,D5/C5))</f>
        <v>0</v>
      </c>
    </row>
    <row r="6" customFormat="false" ht="15" hidden="false" customHeight="false" outlineLevel="0" collapsed="false">
      <c r="B6" s="16" t="s">
        <v>175</v>
      </c>
      <c r="C6" s="17" t="n">
        <v>500000</v>
      </c>
      <c r="D6" s="17" t="n">
        <v>0</v>
      </c>
      <c r="E6" s="16" t="s">
        <v>176</v>
      </c>
      <c r="F6" s="23" t="n">
        <f aca="true">IF(OR(C6=0,E6=""),0,MAX(0,(C6-D6)/MAX(1,(YEAR(DATE(LEFT(E6,4),MID(E6,6,2),1))-YEAR(TODAY()))*12+(MONTH(DATE(LEFT(E6,4),MID(E6,6,2),1))-MONTH(TODAY())))))</f>
        <v>10000</v>
      </c>
      <c r="G6" s="30" t="n">
        <f aca="false">IF(C6=0,0,MIN(1,D6/C6))</f>
        <v>0</v>
      </c>
    </row>
    <row r="7" customFormat="false" ht="15" hidden="false" customHeight="false" outlineLevel="0" collapsed="false">
      <c r="B7" s="16" t="s">
        <v>177</v>
      </c>
      <c r="C7" s="17" t="n">
        <v>300000</v>
      </c>
      <c r="D7" s="17" t="n">
        <v>50000</v>
      </c>
      <c r="E7" s="16" t="s">
        <v>178</v>
      </c>
      <c r="F7" s="23" t="n">
        <f aca="true">IF(OR(C7=0,E7=""),0,MAX(0,(C7-D7)/MAX(1,(YEAR(DATE(LEFT(E7,4),MID(E7,6,2),1))-YEAR(TODAY()))*12+(MONTH(DATE(LEFT(E7,4),MID(E7,6,2),1))-MONTH(TODAY())))))</f>
        <v>10869.5652173913</v>
      </c>
      <c r="G7" s="30" t="n">
        <f aca="false">IF(C7=0,0,MIN(1,D7/C7))</f>
        <v>0.166666666666667</v>
      </c>
    </row>
    <row r="8" customFormat="false" ht="15" hidden="false" customHeight="false" outlineLevel="0" collapsed="false">
      <c r="B8" s="16" t="s">
        <v>179</v>
      </c>
      <c r="C8" s="17" t="n">
        <v>45000000</v>
      </c>
      <c r="D8" s="17" t="n">
        <v>0</v>
      </c>
      <c r="E8" s="16" t="s">
        <v>180</v>
      </c>
      <c r="F8" s="23" t="n">
        <f aca="true">IF(OR(C8=0,E8=""),0,MAX(0,(C8-D8)/MAX(1,(YEAR(DATE(LEFT(E8,4),MID(E8,6,2),1))-YEAR(TODAY()))*12+(MONTH(DATE(LEFT(E8,4),MID(E8,6,2),1))-MONTH(TODAY())))))</f>
        <v>156250</v>
      </c>
      <c r="G8" s="30" t="n">
        <f aca="false">IF(C8=0,0,MIN(1,D8/C8))</f>
        <v>0</v>
      </c>
    </row>
    <row r="9" customFormat="false" ht="15" hidden="false" customHeight="false" outlineLevel="0" collapsed="false">
      <c r="B9" s="16"/>
      <c r="C9" s="17" t="n">
        <v>0</v>
      </c>
      <c r="D9" s="17" t="n">
        <v>0</v>
      </c>
      <c r="E9" s="16"/>
      <c r="F9" s="23" t="n">
        <f aca="true">IF(OR(C9=0,E9=""),0,MAX(0,(C9-D9)/MAX(1,(YEAR(DATE(LEFT(E9,4),MID(E9,6,2),1))-YEAR(TODAY()))*12+(MONTH(DATE(LEFT(E9,4),MID(E9,6,2),1))-MONTH(TODAY())))))</f>
        <v>0</v>
      </c>
      <c r="G9" s="30" t="n">
        <f aca="false">IF(C9=0,0,MIN(1,D9/C9))</f>
        <v>0</v>
      </c>
    </row>
    <row r="10" customFormat="false" ht="15" hidden="false" customHeight="false" outlineLevel="0" collapsed="false">
      <c r="B10" s="16"/>
      <c r="C10" s="17" t="n">
        <v>0</v>
      </c>
      <c r="D10" s="17" t="n">
        <v>0</v>
      </c>
      <c r="E10" s="16"/>
      <c r="F10" s="23" t="n">
        <f aca="true">IF(OR(C10=0,E10=""),0,MAX(0,(C10-D10)/MAX(1,(YEAR(DATE(LEFT(E10,4),MID(E10,6,2),1))-YEAR(TODAY()))*12+(MONTH(DATE(LEFT(E10,4),MID(E10,6,2),1))-MONTH(TODAY())))))</f>
        <v>0</v>
      </c>
      <c r="G10" s="30" t="n">
        <f aca="false">IF(C10=0,0,MIN(1,D10/C10))</f>
        <v>0</v>
      </c>
    </row>
    <row r="11" customFormat="false" ht="15" hidden="false" customHeight="false" outlineLevel="0" collapsed="false">
      <c r="B11" s="16"/>
      <c r="C11" s="17" t="n">
        <v>0</v>
      </c>
      <c r="D11" s="17" t="n">
        <v>0</v>
      </c>
      <c r="E11" s="16"/>
      <c r="F11" s="23" t="n">
        <f aca="true">IF(OR(C11=0,E11=""),0,MAX(0,(C11-D11)/MAX(1,(YEAR(DATE(LEFT(E11,4),MID(E11,6,2),1))-YEAR(TODAY()))*12+(MONTH(DATE(LEFT(E11,4),MID(E11,6,2),1))-MONTH(TODAY())))))</f>
        <v>0</v>
      </c>
      <c r="G11" s="30" t="n">
        <f aca="false">IF(C11=0,0,MIN(1,D11/C11))</f>
        <v>0</v>
      </c>
    </row>
    <row r="12" customFormat="false" ht="15" hidden="false" customHeight="false" outlineLevel="0" collapsed="false">
      <c r="B12" s="16"/>
      <c r="C12" s="17" t="n">
        <v>0</v>
      </c>
      <c r="D12" s="17" t="n">
        <v>0</v>
      </c>
      <c r="E12" s="16"/>
      <c r="F12" s="23" t="n">
        <f aca="true">IF(OR(C12=0,E12=""),0,MAX(0,(C12-D12)/MAX(1,(YEAR(DATE(LEFT(E12,4),MID(E12,6,2),1))-YEAR(TODAY()))*12+(MONTH(DATE(LEFT(E12,4),MID(E12,6,2),1))-MONTH(TODAY())))))</f>
        <v>0</v>
      </c>
      <c r="G12" s="30" t="n">
        <f aca="false">IF(C12=0,0,MIN(1,D12/C12))</f>
        <v>0</v>
      </c>
    </row>
    <row r="13" customFormat="false" ht="15" hidden="false" customHeight="false" outlineLevel="0" collapsed="false">
      <c r="B13" s="15" t="s">
        <v>181</v>
      </c>
      <c r="F13" s="23" t="n">
        <f aca="false">SUM(F3:F12)</f>
        <v>237849.72394755</v>
      </c>
    </row>
    <row r="14" customFormat="false" ht="15" hidden="false" customHeight="false" outlineLevel="0" collapsed="false">
      <c r="B14" s="15" t="s">
        <v>182</v>
      </c>
      <c r="F14" s="24" t="n">
        <f aca="false">IF('📊 Income &amp; Profile'!C17=0,0,F13/'📊 Income &amp; Profile'!C17)</f>
        <v>3.9641620657925</v>
      </c>
    </row>
    <row r="15" customFormat="false" ht="15" hidden="false" customHeight="false" outlineLevel="0" collapsed="false">
      <c r="B15" s="15" t="s">
        <v>183</v>
      </c>
      <c r="F15" s="31" t="str">
        <f aca="false">IF(F14&gt;0.3,"⚠️ Goals exceed 30% of income – review targets","✅ Goals within budget")</f>
        <v>⚠️ Goals exceed 30% of income – review targets</v>
      </c>
    </row>
    <row r="17" customFormat="false" ht="15.75" hidden="false" customHeight="true" outlineLevel="0" collapsed="false">
      <c r="A17" s="13" t="s">
        <v>29</v>
      </c>
      <c r="B17" s="13"/>
      <c r="C17" s="13"/>
      <c r="D17" s="13"/>
      <c r="E17" s="13"/>
      <c r="F17" s="13"/>
      <c r="G17" s="13"/>
      <c r="H17" s="13"/>
    </row>
  </sheetData>
  <mergeCells count="2">
    <mergeCell ref="B1:G1"/>
    <mergeCell ref="A17:H17"/>
  </mergeCells>
  <conditionalFormatting sqref="G3">
    <cfRule type="cellIs" priority="2" operator="greaterThan" aboveAverage="0" equalAverage="0" bottom="0" percent="0" rank="0" text="" dxfId="0">
      <formula>0.8</formula>
    </cfRule>
    <cfRule type="cellIs" priority="3" operator="lessThan" aboveAverage="0" equalAverage="0" bottom="0" percent="0" rank="0" text="" dxfId="2">
      <formula>0.3</formula>
    </cfRule>
  </conditionalFormatting>
  <conditionalFormatting sqref="G4">
    <cfRule type="cellIs" priority="4" operator="greaterThan" aboveAverage="0" equalAverage="0" bottom="0" percent="0" rank="0" text="" dxfId="0">
      <formula>0.8</formula>
    </cfRule>
    <cfRule type="cellIs" priority="5" operator="lessThan" aboveAverage="0" equalAverage="0" bottom="0" percent="0" rank="0" text="" dxfId="2">
      <formula>0.3</formula>
    </cfRule>
  </conditionalFormatting>
  <conditionalFormatting sqref="G5">
    <cfRule type="cellIs" priority="6" operator="greaterThan" aboveAverage="0" equalAverage="0" bottom="0" percent="0" rank="0" text="" dxfId="0">
      <formula>0.8</formula>
    </cfRule>
    <cfRule type="cellIs" priority="7" operator="lessThan" aboveAverage="0" equalAverage="0" bottom="0" percent="0" rank="0" text="" dxfId="2">
      <formula>0.3</formula>
    </cfRule>
  </conditionalFormatting>
  <conditionalFormatting sqref="G6">
    <cfRule type="cellIs" priority="8" operator="greaterThan" aboveAverage="0" equalAverage="0" bottom="0" percent="0" rank="0" text="" dxfId="0">
      <formula>0.8</formula>
    </cfRule>
    <cfRule type="cellIs" priority="9" operator="lessThan" aboveAverage="0" equalAverage="0" bottom="0" percent="0" rank="0" text="" dxfId="2">
      <formula>0.3</formula>
    </cfRule>
  </conditionalFormatting>
  <conditionalFormatting sqref="G7">
    <cfRule type="cellIs" priority="10" operator="greaterThan" aboveAverage="0" equalAverage="0" bottom="0" percent="0" rank="0" text="" dxfId="0">
      <formula>0.8</formula>
    </cfRule>
    <cfRule type="cellIs" priority="11" operator="lessThan" aboveAverage="0" equalAverage="0" bottom="0" percent="0" rank="0" text="" dxfId="2">
      <formula>0.3</formula>
    </cfRule>
  </conditionalFormatting>
  <conditionalFormatting sqref="G8">
    <cfRule type="cellIs" priority="12" operator="greaterThan" aboveAverage="0" equalAverage="0" bottom="0" percent="0" rank="0" text="" dxfId="0">
      <formula>0.8</formula>
    </cfRule>
    <cfRule type="cellIs" priority="13" operator="lessThan" aboveAverage="0" equalAverage="0" bottom="0" percent="0" rank="0" text="" dxfId="2">
      <formula>0.3</formula>
    </cfRule>
  </conditionalFormatting>
  <conditionalFormatting sqref="G9">
    <cfRule type="cellIs" priority="14" operator="greaterThan" aboveAverage="0" equalAverage="0" bottom="0" percent="0" rank="0" text="" dxfId="0">
      <formula>0.8</formula>
    </cfRule>
    <cfRule type="cellIs" priority="15" operator="lessThan" aboveAverage="0" equalAverage="0" bottom="0" percent="0" rank="0" text="" dxfId="2">
      <formula>0.3</formula>
    </cfRule>
  </conditionalFormatting>
  <conditionalFormatting sqref="G10">
    <cfRule type="cellIs" priority="16" operator="greaterThan" aboveAverage="0" equalAverage="0" bottom="0" percent="0" rank="0" text="" dxfId="0">
      <formula>0.8</formula>
    </cfRule>
    <cfRule type="cellIs" priority="17" operator="lessThan" aboveAverage="0" equalAverage="0" bottom="0" percent="0" rank="0" text="" dxfId="2">
      <formula>0.3</formula>
    </cfRule>
  </conditionalFormatting>
  <conditionalFormatting sqref="G11">
    <cfRule type="cellIs" priority="18" operator="greaterThan" aboveAverage="0" equalAverage="0" bottom="0" percent="0" rank="0" text="" dxfId="0">
      <formula>0.8</formula>
    </cfRule>
    <cfRule type="cellIs" priority="19" operator="lessThan" aboveAverage="0" equalAverage="0" bottom="0" percent="0" rank="0" text="" dxfId="2">
      <formula>0.3</formula>
    </cfRule>
  </conditionalFormatting>
  <conditionalFormatting sqref="G12">
    <cfRule type="cellIs" priority="20" operator="greaterThan" aboveAverage="0" equalAverage="0" bottom="0" percent="0" rank="0" text="" dxfId="0">
      <formula>0.8</formula>
    </cfRule>
    <cfRule type="cellIs" priority="21" operator="lessThan" aboveAverage="0" equalAverage="0" bottom="0" percent="0" rank="0" text="" dxfId="2">
      <formula>0.3</formula>
    </cfRule>
  </conditionalFormatting>
  <conditionalFormatting sqref="F14">
    <cfRule type="cellIs" priority="22" operator="greaterThan" aboveAverage="0" equalAverage="0" bottom="0" percent="0" rank="0" text="" dxfId="2">
      <formula>0.3</formula>
    </cfRule>
    <cfRule type="cellIs" priority="23" operator="lessThan" aboveAverage="0" equalAverage="0" bottom="0" percent="0" rank="0" text="" dxfId="0">
      <formula>0.3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16"/>
    <col collapsed="false" customWidth="true" hidden="false" outlineLevel="0" max="3" min="3" style="0" width="20"/>
    <col collapsed="false" customWidth="true" hidden="false" outlineLevel="0" max="4" min="4" style="0" width="22"/>
    <col collapsed="false" customWidth="true" hidden="false" outlineLevel="0" max="5" min="5" style="0" width="24"/>
    <col collapsed="false" customWidth="true" hidden="false" outlineLevel="0" max="6" min="6" style="0" width="3"/>
  </cols>
  <sheetData>
    <row r="1" customFormat="false" ht="17.35" hidden="false" customHeight="true" outlineLevel="0" collapsed="false">
      <c r="B1" s="14" t="s">
        <v>184</v>
      </c>
      <c r="C1" s="14"/>
      <c r="D1" s="14"/>
      <c r="E1" s="14"/>
    </row>
    <row r="2" customFormat="false" ht="15" hidden="false" customHeight="false" outlineLevel="0" collapsed="false">
      <c r="B2" s="3" t="s">
        <v>185</v>
      </c>
      <c r="C2" s="3"/>
      <c r="D2" s="3"/>
      <c r="E2" s="3"/>
    </row>
    <row r="3" customFormat="false" ht="15" hidden="false" customHeight="false" outlineLevel="0" collapsed="false">
      <c r="B3" s="15" t="s">
        <v>186</v>
      </c>
      <c r="C3" s="17" t="n">
        <v>5000</v>
      </c>
    </row>
    <row r="4" customFormat="false" ht="15" hidden="false" customHeight="false" outlineLevel="0" collapsed="false">
      <c r="B4" s="15" t="s">
        <v>187</v>
      </c>
      <c r="C4" s="32" t="n">
        <v>0.12</v>
      </c>
    </row>
    <row r="5" customFormat="false" ht="15" hidden="false" customHeight="false" outlineLevel="0" collapsed="false">
      <c r="B5" s="15" t="s">
        <v>188</v>
      </c>
      <c r="C5" s="32" t="n">
        <v>0.1</v>
      </c>
    </row>
    <row r="6" customFormat="false" ht="15" hidden="false" customHeight="false" outlineLevel="0" collapsed="false">
      <c r="B6" s="15" t="s">
        <v>189</v>
      </c>
      <c r="C6" s="22" t="n">
        <v>20</v>
      </c>
    </row>
    <row r="7" customFormat="false" ht="15" hidden="false" customHeight="false" outlineLevel="0" collapsed="false">
      <c r="B7" s="15" t="s">
        <v>190</v>
      </c>
      <c r="C7" s="32" t="n">
        <v>0.07</v>
      </c>
    </row>
    <row r="9" customFormat="false" ht="15" hidden="false" customHeight="false" outlineLevel="0" collapsed="false">
      <c r="B9" s="3" t="s">
        <v>191</v>
      </c>
      <c r="C9" s="3"/>
      <c r="D9" s="3"/>
      <c r="E9" s="3"/>
    </row>
    <row r="10" customFormat="false" ht="34.5" hidden="false" customHeight="true" outlineLevel="0" collapsed="false">
      <c r="B10" s="28" t="s">
        <v>192</v>
      </c>
      <c r="C10" s="28" t="s">
        <v>193</v>
      </c>
      <c r="D10" s="28" t="s">
        <v>194</v>
      </c>
      <c r="E10" s="28" t="s">
        <v>195</v>
      </c>
    </row>
    <row r="11" customFormat="false" ht="15" hidden="false" customHeight="false" outlineLevel="0" collapsed="false">
      <c r="B11" s="0" t="n">
        <v>1</v>
      </c>
      <c r="C11" s="33" t="n">
        <f aca="false">ROUND($C$3*12*(((1+$C$5)^B11-1)/IF($C$5=0,1,$C$5)),0)</f>
        <v>60000</v>
      </c>
      <c r="D11" s="33" t="n">
        <f aca="false">ROUND($C$3*(((1+$C$4/12)^(B11*12)-1)/($C$4/12))*(1+$C$5)^(B11/2),0)</f>
        <v>66508</v>
      </c>
      <c r="E11" s="33" t="n">
        <f aca="false">ROUND(D11/(1+$C$7)^B11,0)</f>
        <v>62157</v>
      </c>
    </row>
    <row r="12" customFormat="false" ht="15" hidden="false" customHeight="false" outlineLevel="0" collapsed="false">
      <c r="B12" s="0" t="n">
        <v>2</v>
      </c>
      <c r="C12" s="33" t="n">
        <f aca="false">ROUND($C$3*12*(((1+$C$5)^B12-1)/IF($C$5=0,1,$C$5)),0)</f>
        <v>126000</v>
      </c>
      <c r="D12" s="33" t="n">
        <f aca="false">ROUND($C$3*(((1+$C$4/12)^(B12*12)-1)/($C$4/12))*(1+$C$5)^(B12/2),0)</f>
        <v>148354</v>
      </c>
      <c r="E12" s="33" t="n">
        <f aca="false">ROUND(D12/(1+$C$7)^B12,0)</f>
        <v>129578</v>
      </c>
    </row>
    <row r="13" customFormat="false" ht="15" hidden="false" customHeight="false" outlineLevel="0" collapsed="false">
      <c r="B13" s="0" t="n">
        <v>3</v>
      </c>
      <c r="C13" s="33" t="n">
        <f aca="false">ROUND($C$3*12*(((1+$C$5)^B13-1)/IF($C$5=0,1,$C$5)),0)</f>
        <v>198600</v>
      </c>
      <c r="D13" s="33" t="n">
        <f aca="false">ROUND($C$3*(((1+$C$4/12)^(B13*12)-1)/($C$4/12))*(1+$C$5)^(B13/2),0)</f>
        <v>248487</v>
      </c>
      <c r="E13" s="33" t="n">
        <f aca="false">ROUND(D13/(1+$C$7)^B13,0)</f>
        <v>202839</v>
      </c>
    </row>
    <row r="14" customFormat="false" ht="15" hidden="false" customHeight="false" outlineLevel="0" collapsed="false">
      <c r="B14" s="0" t="n">
        <v>4</v>
      </c>
      <c r="C14" s="33" t="n">
        <f aca="false">ROUND($C$3*12*(((1+$C$5)^B14-1)/IF($C$5=0,1,$C$5)),0)</f>
        <v>278460</v>
      </c>
      <c r="D14" s="33" t="n">
        <f aca="false">ROUND($C$3*(((1+$C$4/12)^(B14*12)-1)/($C$4/12))*(1+$C$5)^(B14/2),0)</f>
        <v>370397</v>
      </c>
      <c r="E14" s="33" t="n">
        <f aca="false">ROUND(D14/(1+$C$7)^B14,0)</f>
        <v>282574</v>
      </c>
    </row>
    <row r="15" customFormat="false" ht="15" hidden="false" customHeight="false" outlineLevel="0" collapsed="false">
      <c r="B15" s="0" t="n">
        <v>5</v>
      </c>
      <c r="C15" s="33" t="n">
        <f aca="false">ROUND($C$3*12*(((1+$C$5)^B15-1)/IF($C$5=0,1,$C$5)),0)</f>
        <v>366306</v>
      </c>
      <c r="D15" s="33" t="n">
        <f aca="false">ROUND($C$3*(((1+$C$4/12)^(B15*12)-1)/($C$4/12))*(1+$C$5)^(B15/2),0)</f>
        <v>518218</v>
      </c>
      <c r="E15" s="33" t="n">
        <f aca="false">ROUND(D15/(1+$C$7)^B15,0)</f>
        <v>369482</v>
      </c>
    </row>
    <row r="16" customFormat="false" ht="15" hidden="false" customHeight="false" outlineLevel="0" collapsed="false">
      <c r="B16" s="0" t="n">
        <v>6</v>
      </c>
      <c r="C16" s="33" t="n">
        <f aca="false">ROUND($C$3*12*(((1+$C$5)^B16-1)/IF($C$5=0,1,$C$5)),0)</f>
        <v>462937</v>
      </c>
      <c r="D16" s="33" t="n">
        <f aca="false">ROUND($C$3*(((1+$C$4/12)^(B16*12)-1)/($C$4/12))*(1+$C$5)^(B16/2),0)</f>
        <v>696845</v>
      </c>
      <c r="E16" s="33" t="n">
        <f aca="false">ROUND(D16/(1+$C$7)^B16,0)</f>
        <v>464337</v>
      </c>
    </row>
    <row r="17" customFormat="false" ht="15" hidden="false" customHeight="false" outlineLevel="0" collapsed="false">
      <c r="B17" s="0" t="n">
        <v>7</v>
      </c>
      <c r="C17" s="33" t="n">
        <f aca="false">ROUND($C$3*12*(((1+$C$5)^B17-1)/IF($C$5=0,1,$C$5)),0)</f>
        <v>569230</v>
      </c>
      <c r="D17" s="33" t="n">
        <f aca="false">ROUND($C$3*(((1+$C$4/12)^(B17*12)-1)/($C$4/12))*(1+$C$5)^(B17/2),0)</f>
        <v>912069</v>
      </c>
      <c r="E17" s="33" t="n">
        <f aca="false">ROUND(D17/(1+$C$7)^B17,0)</f>
        <v>567991</v>
      </c>
    </row>
    <row r="18" customFormat="false" ht="15" hidden="false" customHeight="false" outlineLevel="0" collapsed="false">
      <c r="B18" s="0" t="n">
        <v>8</v>
      </c>
      <c r="C18" s="33" t="n">
        <f aca="false">ROUND($C$3*12*(((1+$C$5)^B18-1)/IF($C$5=0,1,$C$5)),0)</f>
        <v>686153</v>
      </c>
      <c r="D18" s="33" t="n">
        <f aca="false">ROUND($C$3*(((1+$C$4/12)^(B18*12)-1)/($C$4/12))*(1+$C$5)^(B18/2),0)</f>
        <v>1170748</v>
      </c>
      <c r="E18" s="33" t="n">
        <f aca="false">ROUND(D18/(1+$C$7)^B18,0)</f>
        <v>681386</v>
      </c>
    </row>
    <row r="19" customFormat="false" ht="15" hidden="false" customHeight="false" outlineLevel="0" collapsed="false">
      <c r="B19" s="0" t="n">
        <v>9</v>
      </c>
      <c r="C19" s="33" t="n">
        <f aca="false">ROUND($C$3*12*(((1+$C$5)^B19-1)/IF($C$5=0,1,$C$5)),0)</f>
        <v>814769</v>
      </c>
      <c r="D19" s="33" t="n">
        <f aca="false">ROUND($C$3*(((1+$C$4/12)^(B19*12)-1)/($C$4/12))*(1+$C$5)^(B19/2),0)</f>
        <v>1480992</v>
      </c>
      <c r="E19" s="33" t="n">
        <f aca="false">ROUND(D19/(1+$C$7)^B19,0)</f>
        <v>805562</v>
      </c>
    </row>
    <row r="20" customFormat="false" ht="15" hidden="false" customHeight="false" outlineLevel="0" collapsed="false">
      <c r="B20" s="0" t="n">
        <v>10</v>
      </c>
      <c r="C20" s="33" t="n">
        <f aca="false">ROUND($C$3*12*(((1+$C$5)^B20-1)/IF($C$5=0,1,$C$5)),0)</f>
        <v>956245</v>
      </c>
      <c r="D20" s="33" t="n">
        <f aca="false">ROUND($C$3*(((1+$C$4/12)^(B20*12)-1)/($C$4/12))*(1+$C$5)^(B20/2),0)</f>
        <v>1852398</v>
      </c>
      <c r="E20" s="33" t="n">
        <f aca="false">ROUND(D20/(1+$C$7)^B20,0)</f>
        <v>941665</v>
      </c>
    </row>
    <row r="21" customFormat="false" ht="15" hidden="false" customHeight="false" outlineLevel="0" collapsed="false">
      <c r="B21" s="0" t="n">
        <v>11</v>
      </c>
      <c r="C21" s="33" t="n">
        <f aca="false">ROUND($C$3*12*(((1+$C$5)^B21-1)/IF($C$5=0,1,$C$5)),0)</f>
        <v>1111870</v>
      </c>
      <c r="D21" s="33" t="n">
        <f aca="false">ROUND($C$3*(((1+$C$4/12)^(B21*12)-1)/($C$4/12))*(1+$C$5)^(B21/2),0)</f>
        <v>2296320</v>
      </c>
      <c r="E21" s="33" t="n">
        <f aca="false">ROUND(D21/(1+$C$7)^B21,0)</f>
        <v>1090965</v>
      </c>
    </row>
    <row r="22" customFormat="false" ht="15" hidden="false" customHeight="false" outlineLevel="0" collapsed="false">
      <c r="B22" s="0" t="n">
        <v>12</v>
      </c>
      <c r="C22" s="33" t="n">
        <f aca="false">ROUND($C$3*12*(((1+$C$5)^B22-1)/IF($C$5=0,1,$C$5)),0)</f>
        <v>1283057</v>
      </c>
      <c r="D22" s="33" t="n">
        <f aca="false">ROUND($C$3*(((1+$C$4/12)^(B22*12)-1)/($C$4/12))*(1+$C$5)^(B22/2),0)</f>
        <v>2826185</v>
      </c>
      <c r="E22" s="33" t="n">
        <f aca="false">ROUND(D22/(1+$C$7)^B22,0)</f>
        <v>1254860</v>
      </c>
    </row>
    <row r="23" customFormat="false" ht="15" hidden="false" customHeight="false" outlineLevel="0" collapsed="false">
      <c r="B23" s="0" t="n">
        <v>13</v>
      </c>
      <c r="C23" s="33" t="n">
        <f aca="false">ROUND($C$3*12*(((1+$C$5)^B23-1)/IF($C$5=0,1,$C$5)),0)</f>
        <v>1471363</v>
      </c>
      <c r="D23" s="33" t="n">
        <f aca="false">ROUND($C$3*(((1+$C$4/12)^(B23*12)-1)/($C$4/12))*(1+$C$5)^(B23/2),0)</f>
        <v>3457876</v>
      </c>
      <c r="E23" s="33" t="n">
        <f aca="false">ROUND(D23/(1+$C$7)^B23,0)</f>
        <v>1434896</v>
      </c>
    </row>
    <row r="24" customFormat="false" ht="15" hidden="false" customHeight="false" outlineLevel="0" collapsed="false">
      <c r="B24" s="0" t="n">
        <v>14</v>
      </c>
      <c r="C24" s="33" t="n">
        <f aca="false">ROUND($C$3*12*(((1+$C$5)^B24-1)/IF($C$5=0,1,$C$5)),0)</f>
        <v>1678499</v>
      </c>
      <c r="D24" s="33" t="n">
        <f aca="false">ROUND($C$3*(((1+$C$4/12)^(B24*12)-1)/($C$4/12))*(1+$C$5)^(B24/2),0)</f>
        <v>4210174</v>
      </c>
      <c r="E24" s="33" t="n">
        <f aca="false">ROUND(D24/(1+$C$7)^B24,0)</f>
        <v>1632778</v>
      </c>
    </row>
    <row r="25" customFormat="false" ht="15" hidden="false" customHeight="false" outlineLevel="0" collapsed="false">
      <c r="B25" s="0" t="n">
        <v>15</v>
      </c>
      <c r="C25" s="33" t="n">
        <f aca="false">ROUND($C$3*12*(((1+$C$5)^B25-1)/IF($C$5=0,1,$C$5)),0)</f>
        <v>1906349</v>
      </c>
      <c r="D25" s="33" t="n">
        <f aca="false">ROUND($C$3*(((1+$C$4/12)^(B25*12)-1)/($C$4/12))*(1+$C$5)^(B25/2),0)</f>
        <v>5105289</v>
      </c>
      <c r="E25" s="33" t="n">
        <f aca="false">ROUND(D25/(1+$C$7)^B25,0)</f>
        <v>1850392</v>
      </c>
    </row>
    <row r="26" customFormat="false" ht="15" hidden="false" customHeight="false" outlineLevel="0" collapsed="false">
      <c r="B26" s="0" t="n">
        <v>16</v>
      </c>
      <c r="C26" s="33" t="n">
        <f aca="false">ROUND($C$3*12*(((1+$C$5)^B26-1)/IF($C$5=0,1,$C$5)),0)</f>
        <v>2156984</v>
      </c>
      <c r="D26" s="33" t="n">
        <f aca="false">ROUND($C$3*(((1+$C$4/12)^(B26*12)-1)/($C$4/12))*(1+$C$5)^(B26/2),0)</f>
        <v>6169484</v>
      </c>
      <c r="E26" s="33" t="n">
        <f aca="false">ROUND(D26/(1+$C$7)^B26,0)</f>
        <v>2089818</v>
      </c>
    </row>
    <row r="27" customFormat="false" ht="15" hidden="false" customHeight="false" outlineLevel="0" collapsed="false">
      <c r="B27" s="0" t="n">
        <v>17</v>
      </c>
      <c r="C27" s="33" t="n">
        <f aca="false">ROUND($C$3*12*(((1+$C$5)^B27-1)/IF($C$5=0,1,$C$5)),0)</f>
        <v>2432682</v>
      </c>
      <c r="D27" s="33" t="n">
        <f aca="false">ROUND($C$3*(((1+$C$4/12)^(B27*12)-1)/($C$4/12))*(1+$C$5)^(B27/2),0)</f>
        <v>7433810</v>
      </c>
      <c r="E27" s="33" t="n">
        <f aca="false">ROUND(D27/(1+$C$7)^B27,0)</f>
        <v>2353354</v>
      </c>
    </row>
    <row r="28" customFormat="false" ht="15" hidden="false" customHeight="false" outlineLevel="0" collapsed="false">
      <c r="B28" s="0" t="n">
        <v>18</v>
      </c>
      <c r="C28" s="33" t="n">
        <f aca="false">ROUND($C$3*12*(((1+$C$5)^B28-1)/IF($C$5=0,1,$C$5)),0)</f>
        <v>2735950</v>
      </c>
      <c r="D28" s="33" t="n">
        <f aca="false">ROUND($C$3*(((1+$C$4/12)^(B28*12)-1)/($C$4/12))*(1+$C$5)^(B28/2),0)</f>
        <v>8934979</v>
      </c>
      <c r="E28" s="33" t="n">
        <f aca="false">ROUND(D28/(1+$C$7)^B28,0)</f>
        <v>2643538</v>
      </c>
    </row>
    <row r="29" customFormat="false" ht="15" hidden="false" customHeight="false" outlineLevel="0" collapsed="false">
      <c r="B29" s="0" t="n">
        <v>19</v>
      </c>
      <c r="C29" s="33" t="n">
        <f aca="false">ROUND($C$3*12*(((1+$C$5)^B29-1)/IF($C$5=0,1,$C$5)),0)</f>
        <v>3069545</v>
      </c>
      <c r="D29" s="33" t="n">
        <f aca="false">ROUND($C$3*(((1+$C$4/12)^(B29*12)-1)/($C$4/12))*(1+$C$5)^(B29/2),0)</f>
        <v>10716394</v>
      </c>
      <c r="E29" s="33" t="n">
        <f aca="false">ROUND(D29/(1+$C$7)^B29,0)</f>
        <v>2963172</v>
      </c>
    </row>
    <row r="30" customFormat="false" ht="15" hidden="false" customHeight="false" outlineLevel="0" collapsed="false">
      <c r="B30" s="0" t="n">
        <v>20</v>
      </c>
      <c r="C30" s="33" t="n">
        <f aca="false">ROUND($C$3*12*(((1+$C$5)^B30-1)/IF($C$5=0,1,$C$5)),0)</f>
        <v>3436500</v>
      </c>
      <c r="D30" s="33" t="n">
        <f aca="false">ROUND($C$3*(((1+$C$4/12)^(B30*12)-1)/($C$4/12))*(1+$C$5)^(B30/2),0)</f>
        <v>12829368</v>
      </c>
      <c r="E30" s="33" t="n">
        <f aca="false">ROUND(D30/(1+$C$7)^B30,0)</f>
        <v>3315352</v>
      </c>
    </row>
    <row r="31" customFormat="false" ht="15" hidden="false" customHeight="false" outlineLevel="0" collapsed="false">
      <c r="B31" s="0" t="n">
        <v>21</v>
      </c>
      <c r="C31" s="33" t="n">
        <f aca="false">ROUND($C$3*12*(((1+$C$5)^B31-1)/IF($C$5=0,1,$C$5)),0)</f>
        <v>3840150</v>
      </c>
      <c r="D31" s="33" t="n">
        <f aca="false">ROUND($C$3*(((1+$C$4/12)^(B31*12)-1)/($C$4/12))*(1+$C$5)^(B31/2),0)</f>
        <v>15334560</v>
      </c>
      <c r="E31" s="33" t="n">
        <f aca="false">ROUND(D31/(1+$C$7)^B31,0)</f>
        <v>3703497</v>
      </c>
    </row>
    <row r="32" customFormat="false" ht="15" hidden="false" customHeight="false" outlineLevel="0" collapsed="false">
      <c r="B32" s="0" t="n">
        <v>22</v>
      </c>
      <c r="C32" s="33" t="n">
        <f aca="false">ROUND($C$3*12*(((1+$C$5)^B32-1)/IF($C$5=0,1,$C$5)),0)</f>
        <v>4284165</v>
      </c>
      <c r="D32" s="33" t="n">
        <f aca="false">ROUND($C$3*(((1+$C$4/12)^(B32*12)-1)/($C$4/12))*(1+$C$5)^(B32/2),0)</f>
        <v>18303675</v>
      </c>
      <c r="E32" s="33" t="n">
        <f aca="false">ROUND(D32/(1+$C$7)^B32,0)</f>
        <v>4131380</v>
      </c>
    </row>
    <row r="33" customFormat="false" ht="15" hidden="false" customHeight="false" outlineLevel="0" collapsed="false">
      <c r="B33" s="0" t="n">
        <v>23</v>
      </c>
      <c r="C33" s="33" t="n">
        <f aca="false">ROUND($C$3*12*(((1+$C$5)^B33-1)/IF($C$5=0,1,$C$5)),0)</f>
        <v>4772581</v>
      </c>
      <c r="D33" s="33" t="n">
        <f aca="false">ROUND($C$3*(((1+$C$4/12)^(B33*12)-1)/($C$4/12))*(1+$C$5)^(B33/2),0)</f>
        <v>21821477</v>
      </c>
      <c r="E33" s="33" t="n">
        <f aca="false">ROUND(D33/(1+$C$7)^B33,0)</f>
        <v>4603173</v>
      </c>
    </row>
    <row r="34" customFormat="false" ht="15" hidden="false" customHeight="false" outlineLevel="0" collapsed="false">
      <c r="B34" s="0" t="n">
        <v>24</v>
      </c>
      <c r="C34" s="33" t="n">
        <f aca="false">ROUND($C$3*12*(((1+$C$5)^B34-1)/IF($C$5=0,1,$C$5)),0)</f>
        <v>5309840</v>
      </c>
      <c r="D34" s="33" t="n">
        <f aca="false">ROUND($C$3*(((1+$C$4/12)^(B34*12)-1)/($C$4/12))*(1+$C$5)^(B34/2),0)</f>
        <v>25988163</v>
      </c>
      <c r="E34" s="33" t="n">
        <f aca="false">ROUND(D34/(1+$C$7)^B34,0)</f>
        <v>5123478</v>
      </c>
    </row>
    <row r="35" customFormat="false" ht="15" hidden="false" customHeight="false" outlineLevel="0" collapsed="false">
      <c r="B35" s="0" t="n">
        <v>25</v>
      </c>
      <c r="C35" s="33" t="n">
        <f aca="false">ROUND($C$3*12*(((1+$C$5)^B35-1)/IF($C$5=0,1,$C$5)),0)</f>
        <v>5900824</v>
      </c>
      <c r="D35" s="33" t="n">
        <f aca="false">ROUND($C$3*(((1+$C$4/12)^(B35*12)-1)/($C$4/12))*(1+$C$5)^(B35/2),0)</f>
        <v>30922165</v>
      </c>
      <c r="E35" s="33" t="n">
        <f aca="false">ROUND(D35/(1+$C$7)^B35,0)</f>
        <v>5697383</v>
      </c>
    </row>
    <row r="36" customFormat="false" ht="15" hidden="false" customHeight="false" outlineLevel="0" collapsed="false">
      <c r="B36" s="0" t="n">
        <v>26</v>
      </c>
      <c r="C36" s="33" t="n">
        <f aca="false">ROUND($C$3*12*(((1+$C$5)^B36-1)/IF($C$5=0,1,$C$5)),0)</f>
        <v>6550906</v>
      </c>
      <c r="D36" s="33" t="n">
        <f aca="false">ROUND($C$3*(((1+$C$4/12)^(B36*12)-1)/($C$4/12))*(1+$C$5)^(B36/2),0)</f>
        <v>36763476</v>
      </c>
      <c r="E36" s="33" t="n">
        <f aca="false">ROUND(D36/(1+$C$7)^B36,0)</f>
        <v>6330505</v>
      </c>
    </row>
    <row r="37" customFormat="false" ht="15" hidden="false" customHeight="false" outlineLevel="0" collapsed="false">
      <c r="B37" s="0" t="n">
        <v>27</v>
      </c>
      <c r="C37" s="33" t="n">
        <f aca="false">ROUND($C$3*12*(((1+$C$5)^B37-1)/IF($C$5=0,1,$C$5)),0)</f>
        <v>7265997</v>
      </c>
      <c r="D37" s="33" t="n">
        <f aca="false">ROUND($C$3*(((1+$C$4/12)^(B37*12)-1)/($C$4/12))*(1+$C$5)^(B37/2),0)</f>
        <v>43677563</v>
      </c>
      <c r="E37" s="33" t="n">
        <f aca="false">ROUND(D37/(1+$C$7)^B37,0)</f>
        <v>7029046</v>
      </c>
    </row>
    <row r="38" customFormat="false" ht="15" hidden="false" customHeight="false" outlineLevel="0" collapsed="false">
      <c r="B38" s="0" t="n">
        <v>28</v>
      </c>
      <c r="C38" s="33" t="n">
        <f aca="false">ROUND($C$3*12*(((1+$C$5)^B38-1)/IF($C$5=0,1,$C$5)),0)</f>
        <v>8052596</v>
      </c>
      <c r="D38" s="33" t="n">
        <f aca="false">ROUND($C$3*(((1+$C$4/12)^(B38*12)-1)/($C$4/12))*(1+$C$5)^(B38/2),0)</f>
        <v>51860004</v>
      </c>
      <c r="E38" s="33" t="n">
        <f aca="false">ROUND(D38/(1+$C$7)^B38,0)</f>
        <v>7799859</v>
      </c>
    </row>
    <row r="39" customFormat="false" ht="15" hidden="false" customHeight="false" outlineLevel="0" collapsed="false">
      <c r="B39" s="0" t="n">
        <v>29</v>
      </c>
      <c r="C39" s="33" t="n">
        <f aca="false">ROUND($C$3*12*(((1+$C$5)^B39-1)/IF($C$5=0,1,$C$5)),0)</f>
        <v>8917856</v>
      </c>
      <c r="D39" s="33" t="n">
        <f aca="false">ROUND($C$3*(((1+$C$4/12)^(B39*12)-1)/($C$4/12))*(1+$C$5)^(B39/2),0)</f>
        <v>61541963</v>
      </c>
      <c r="E39" s="33" t="n">
        <f aca="false">ROUND(D39/(1+$C$7)^B39,0)</f>
        <v>8650512</v>
      </c>
    </row>
    <row r="40" customFormat="false" ht="15" hidden="false" customHeight="false" outlineLevel="0" collapsed="false">
      <c r="B40" s="0" t="n">
        <v>30</v>
      </c>
      <c r="C40" s="33" t="n">
        <f aca="false">ROUND($C$3*12*(((1+$C$5)^B40-1)/IF($C$5=0,1,$C$5)),0)</f>
        <v>9869641</v>
      </c>
      <c r="D40" s="33" t="n">
        <f aca="false">ROUND($C$3*(((1+$C$4/12)^(B40*12)-1)/($C$4/12))*(1+$C$5)^(B40/2),0)</f>
        <v>72996663</v>
      </c>
      <c r="E40" s="33" t="n">
        <f aca="false">ROUND(D40/(1+$C$7)^B40,0)</f>
        <v>9589361</v>
      </c>
    </row>
    <row r="42" customFormat="false" ht="15.75" hidden="false" customHeight="true" outlineLevel="0" collapsed="false">
      <c r="A42" s="13" t="s">
        <v>29</v>
      </c>
      <c r="B42" s="13"/>
      <c r="C42" s="13"/>
      <c r="D42" s="13"/>
      <c r="E42" s="13"/>
      <c r="F42" s="13"/>
    </row>
  </sheetData>
  <mergeCells count="4">
    <mergeCell ref="B1:E1"/>
    <mergeCell ref="B2:E2"/>
    <mergeCell ref="B9:E9"/>
    <mergeCell ref="A42:F4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8"/>
    <col collapsed="false" customWidth="true" hidden="false" outlineLevel="0" max="4" min="3" style="0" width="22"/>
    <col collapsed="false" customWidth="true" hidden="false" outlineLevel="0" max="5" min="5" style="0" width="3"/>
  </cols>
  <sheetData>
    <row r="1" customFormat="false" ht="17.35" hidden="false" customHeight="true" outlineLevel="0" collapsed="false">
      <c r="B1" s="14" t="s">
        <v>196</v>
      </c>
      <c r="C1" s="14"/>
      <c r="D1" s="14"/>
    </row>
    <row r="2" customFormat="false" ht="15" hidden="false" customHeight="false" outlineLevel="0" collapsed="false">
      <c r="B2" s="3" t="s">
        <v>197</v>
      </c>
      <c r="C2" s="3"/>
      <c r="D2" s="3"/>
    </row>
    <row r="3" customFormat="false" ht="15" hidden="false" customHeight="false" outlineLevel="0" collapsed="false">
      <c r="B3" s="15" t="s">
        <v>198</v>
      </c>
      <c r="C3" s="17" t="n">
        <v>30</v>
      </c>
    </row>
    <row r="4" customFormat="false" ht="15" hidden="false" customHeight="false" outlineLevel="0" collapsed="false">
      <c r="B4" s="15" t="s">
        <v>199</v>
      </c>
      <c r="C4" s="17" t="n">
        <v>60</v>
      </c>
    </row>
    <row r="5" customFormat="false" ht="15" hidden="false" customHeight="false" outlineLevel="0" collapsed="false">
      <c r="B5" s="15" t="s">
        <v>200</v>
      </c>
      <c r="C5" s="17" t="n">
        <v>85</v>
      </c>
    </row>
    <row r="6" customFormat="false" ht="15" hidden="false" customHeight="false" outlineLevel="0" collapsed="false">
      <c r="B6" s="15" t="s">
        <v>201</v>
      </c>
      <c r="C6" s="17" t="n">
        <v>65000</v>
      </c>
    </row>
    <row r="7" customFormat="false" ht="15" hidden="false" customHeight="false" outlineLevel="0" collapsed="false">
      <c r="B7" s="15" t="s">
        <v>202</v>
      </c>
      <c r="C7" s="17" t="n">
        <v>80000</v>
      </c>
    </row>
    <row r="8" customFormat="false" ht="15" hidden="false" customHeight="false" outlineLevel="0" collapsed="false">
      <c r="B8" s="15" t="s">
        <v>203</v>
      </c>
      <c r="C8" s="32" t="n">
        <v>0.07</v>
      </c>
    </row>
    <row r="9" customFormat="false" ht="15" hidden="false" customHeight="false" outlineLevel="0" collapsed="false">
      <c r="B9" s="15" t="s">
        <v>204</v>
      </c>
      <c r="C9" s="32" t="n">
        <v>0.07</v>
      </c>
    </row>
    <row r="10" customFormat="false" ht="15" hidden="false" customHeight="false" outlineLevel="0" collapsed="false">
      <c r="B10" s="15" t="s">
        <v>205</v>
      </c>
      <c r="C10" s="32" t="n">
        <v>0.12</v>
      </c>
    </row>
    <row r="11" customFormat="false" ht="15" hidden="false" customHeight="false" outlineLevel="0" collapsed="false">
      <c r="B11" s="15" t="s">
        <v>206</v>
      </c>
      <c r="C11" s="32" t="n">
        <v>0.1</v>
      </c>
    </row>
    <row r="13" customFormat="false" ht="15" hidden="false" customHeight="false" outlineLevel="0" collapsed="false">
      <c r="B13" s="3" t="s">
        <v>207</v>
      </c>
      <c r="C13" s="3"/>
      <c r="D13" s="3"/>
    </row>
    <row r="14" customFormat="false" ht="15" hidden="false" customHeight="false" outlineLevel="0" collapsed="false">
      <c r="B14" s="15" t="s">
        <v>208</v>
      </c>
      <c r="C14" s="29" t="n">
        <f aca="false">C4-C3</f>
        <v>30</v>
      </c>
    </row>
    <row r="15" customFormat="false" ht="15" hidden="false" customHeight="false" outlineLevel="0" collapsed="false">
      <c r="B15" s="15" t="s">
        <v>209</v>
      </c>
      <c r="C15" s="29" t="n">
        <f aca="false">C5-C4</f>
        <v>25</v>
      </c>
    </row>
    <row r="16" customFormat="false" ht="15" hidden="false" customHeight="false" outlineLevel="0" collapsed="false">
      <c r="B16" s="15" t="s">
        <v>210</v>
      </c>
      <c r="C16" s="23" t="n">
        <f aca="false">ROUND(C7*(1+C8)^C14,0)</f>
        <v>608980</v>
      </c>
    </row>
    <row r="17" customFormat="false" ht="15" hidden="false" customHeight="false" outlineLevel="0" collapsed="false">
      <c r="B17" s="15" t="s">
        <v>211</v>
      </c>
      <c r="C17" s="34" t="n">
        <f aca="false">ROUND(C16*12*((1-(1+C9)^(-C15))/(C9)),0)</f>
        <v>85161589</v>
      </c>
    </row>
    <row r="18" customFormat="false" ht="15" hidden="false" customHeight="false" outlineLevel="0" collapsed="false">
      <c r="B18" s="15" t="s">
        <v>212</v>
      </c>
      <c r="C18" s="18" t="n">
        <f aca="false">ROUND(C17/(((1+C10/12)^(C14*12)-1)/(C10/12)),0)</f>
        <v>24367</v>
      </c>
    </row>
    <row r="21" customFormat="false" ht="15" hidden="false" customHeight="false" outlineLevel="0" collapsed="false">
      <c r="B21" s="3" t="s">
        <v>213</v>
      </c>
      <c r="C21" s="3"/>
      <c r="D21" s="3"/>
    </row>
    <row r="22" customFormat="false" ht="15" hidden="false" customHeight="false" outlineLevel="0" collapsed="false">
      <c r="B22" s="31" t="s">
        <v>214</v>
      </c>
      <c r="C22" s="35" t="s">
        <v>215</v>
      </c>
      <c r="D22" s="35" t="s">
        <v>216</v>
      </c>
      <c r="E22" s="35" t="s">
        <v>217</v>
      </c>
      <c r="F22" s="35" t="s">
        <v>218</v>
      </c>
    </row>
    <row r="23" customFormat="false" ht="15" hidden="false" customHeight="false" outlineLevel="0" collapsed="false">
      <c r="B23" s="31" t="s">
        <v>219</v>
      </c>
      <c r="C23" s="36" t="n">
        <v>19617</v>
      </c>
      <c r="D23" s="36" t="n">
        <v>11853</v>
      </c>
      <c r="E23" s="36" t="n">
        <v>6997</v>
      </c>
      <c r="F23" s="36" t="n">
        <v>4053</v>
      </c>
    </row>
    <row r="24" customFormat="false" ht="15" hidden="false" customHeight="false" outlineLevel="0" collapsed="false">
      <c r="B24" s="31" t="s">
        <v>220</v>
      </c>
      <c r="C24" s="36" t="n">
        <v>30194</v>
      </c>
      <c r="D24" s="36" t="n">
        <v>19907</v>
      </c>
      <c r="E24" s="36" t="n">
        <v>12876</v>
      </c>
      <c r="F24" s="36" t="n">
        <v>8192</v>
      </c>
    </row>
    <row r="25" customFormat="false" ht="15" hidden="false" customHeight="false" outlineLevel="0" collapsed="false">
      <c r="B25" s="31" t="s">
        <v>221</v>
      </c>
      <c r="C25" s="36" t="n">
        <v>47317</v>
      </c>
      <c r="D25" s="36" t="n">
        <v>33915</v>
      </c>
      <c r="E25" s="36" t="n">
        <v>23951</v>
      </c>
      <c r="F25" s="36" t="n">
        <v>16692</v>
      </c>
    </row>
    <row r="26" customFormat="false" ht="15" hidden="false" customHeight="false" outlineLevel="0" collapsed="false">
      <c r="B26" s="31" t="s">
        <v>222</v>
      </c>
      <c r="C26" s="36" t="n">
        <v>76398</v>
      </c>
      <c r="D26" s="36" t="n">
        <v>59260</v>
      </c>
      <c r="E26" s="36" t="n">
        <v>45489</v>
      </c>
      <c r="F26" s="36" t="n">
        <v>34584</v>
      </c>
    </row>
    <row r="28" customFormat="false" ht="15.75" hidden="false" customHeight="true" outlineLevel="0" collapsed="false">
      <c r="A28" s="13" t="s">
        <v>29</v>
      </c>
      <c r="B28" s="13"/>
      <c r="C28" s="13"/>
      <c r="D28" s="13"/>
      <c r="E28" s="13"/>
    </row>
  </sheetData>
  <mergeCells count="5">
    <mergeCell ref="B1:D1"/>
    <mergeCell ref="B2:D2"/>
    <mergeCell ref="B13:D13"/>
    <mergeCell ref="B21:D21"/>
    <mergeCell ref="A28:E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6"/>
    <col collapsed="false" customWidth="true" hidden="false" outlineLevel="0" max="4" min="3" style="0" width="22"/>
    <col collapsed="false" customWidth="true" hidden="false" outlineLevel="0" max="5" min="5" style="0" width="3"/>
  </cols>
  <sheetData>
    <row r="1" customFormat="false" ht="16.15" hidden="false" customHeight="true" outlineLevel="0" collapsed="false">
      <c r="B1" s="27" t="s">
        <v>223</v>
      </c>
      <c r="C1" s="27"/>
      <c r="D1" s="27"/>
    </row>
    <row r="2" customFormat="false" ht="15" hidden="false" customHeight="false" outlineLevel="0" collapsed="false">
      <c r="B2" s="3" t="s">
        <v>224</v>
      </c>
      <c r="C2" s="3"/>
      <c r="D2" s="3"/>
    </row>
    <row r="3" customFormat="false" ht="15" hidden="false" customHeight="false" outlineLevel="0" collapsed="false">
      <c r="B3" s="15" t="s">
        <v>225</v>
      </c>
      <c r="C3" s="17" t="n">
        <v>840000</v>
      </c>
    </row>
    <row r="4" customFormat="false" ht="15" hidden="false" customHeight="false" outlineLevel="0" collapsed="false">
      <c r="B4" s="15" t="s">
        <v>226</v>
      </c>
      <c r="C4" s="17" t="n">
        <v>120000</v>
      </c>
    </row>
    <row r="5" customFormat="false" ht="15" hidden="false" customHeight="false" outlineLevel="0" collapsed="false">
      <c r="B5" s="15" t="s">
        <v>227</v>
      </c>
      <c r="C5" s="17" t="n">
        <v>180000</v>
      </c>
    </row>
    <row r="6" customFormat="false" ht="15" hidden="false" customHeight="false" outlineLevel="0" collapsed="false">
      <c r="B6" s="15" t="s">
        <v>228</v>
      </c>
      <c r="C6" s="17" t="n">
        <v>150000</v>
      </c>
    </row>
    <row r="7" customFormat="false" ht="15" hidden="false" customHeight="false" outlineLevel="0" collapsed="false">
      <c r="B7" s="15" t="s">
        <v>229</v>
      </c>
      <c r="C7" s="17" t="n">
        <v>25000</v>
      </c>
    </row>
    <row r="8" customFormat="false" ht="15" hidden="false" customHeight="false" outlineLevel="0" collapsed="false">
      <c r="B8" s="15" t="s">
        <v>230</v>
      </c>
      <c r="C8" s="17" t="n">
        <v>50000</v>
      </c>
    </row>
    <row r="9" customFormat="false" ht="15" hidden="false" customHeight="false" outlineLevel="0" collapsed="false">
      <c r="B9" s="15" t="s">
        <v>231</v>
      </c>
      <c r="C9" s="17" t="n">
        <v>0</v>
      </c>
    </row>
    <row r="10" customFormat="false" ht="15" hidden="false" customHeight="false" outlineLevel="0" collapsed="false">
      <c r="B10" s="15" t="s">
        <v>232</v>
      </c>
      <c r="C10" s="17" t="n">
        <v>0</v>
      </c>
    </row>
    <row r="11" customFormat="false" ht="15" hidden="false" customHeight="false" outlineLevel="0" collapsed="false">
      <c r="B11" s="15" t="s">
        <v>233</v>
      </c>
      <c r="C11" s="17" t="n">
        <v>0</v>
      </c>
    </row>
    <row r="13" customFormat="false" ht="15" hidden="false" customHeight="false" outlineLevel="0" collapsed="false">
      <c r="B13" s="3" t="s">
        <v>234</v>
      </c>
      <c r="C13" s="3"/>
      <c r="D13" s="3"/>
    </row>
    <row r="14" customFormat="false" ht="15" hidden="false" customHeight="false" outlineLevel="0" collapsed="false">
      <c r="B14" s="15" t="s">
        <v>235</v>
      </c>
      <c r="C14" s="37" t="n">
        <v>50000</v>
      </c>
    </row>
    <row r="15" customFormat="false" ht="15" hidden="false" customHeight="false" outlineLevel="0" collapsed="false">
      <c r="B15" s="15" t="s">
        <v>236</v>
      </c>
      <c r="C15" s="23" t="n">
        <f aca="false">MIN(C4,C5-0.1*C3,0.5*C3)</f>
        <v>96000</v>
      </c>
    </row>
    <row r="16" customFormat="false" ht="15" hidden="false" customHeight="false" outlineLevel="0" collapsed="false">
      <c r="B16" s="15" t="s">
        <v>237</v>
      </c>
      <c r="C16" s="23" t="n">
        <f aca="false">50000+MAX(0,C15)+MIN(150000,C6)+MIN(25000,C7)+MIN(50000,C8)+MIN(200000,C9)+C10+C11</f>
        <v>371000</v>
      </c>
    </row>
    <row r="17" customFormat="false" ht="15" hidden="false" customHeight="false" outlineLevel="0" collapsed="false">
      <c r="B17" s="15" t="s">
        <v>238</v>
      </c>
      <c r="C17" s="23" t="n">
        <f aca="false">MAX(0,C3-C16)</f>
        <v>469000</v>
      </c>
    </row>
    <row r="18" customFormat="false" ht="15" hidden="false" customHeight="false" outlineLevel="0" collapsed="false">
      <c r="B18" s="15" t="s">
        <v>239</v>
      </c>
      <c r="C18" s="23" t="n">
        <f aca="false">MAX(0,MIN(C17,500000)-250000)*0.05+MAX(0,MIN(C17,1000000)-500000)*0.2+MAX(0,C17-1000000)*0.3</f>
        <v>10950</v>
      </c>
    </row>
    <row r="19" customFormat="false" ht="15" hidden="false" customHeight="false" outlineLevel="0" collapsed="false">
      <c r="B19" s="15" t="s">
        <v>240</v>
      </c>
      <c r="C19" s="23" t="n">
        <f aca="false">IF(C17&lt;=500000,MIN(12500,C18),0)</f>
        <v>10950</v>
      </c>
    </row>
    <row r="20" customFormat="false" ht="15" hidden="false" customHeight="false" outlineLevel="0" collapsed="false">
      <c r="B20" s="15" t="s">
        <v>241</v>
      </c>
      <c r="C20" s="23" t="n">
        <f aca="false">MAX(0,C18-C19)</f>
        <v>0</v>
      </c>
    </row>
    <row r="21" customFormat="false" ht="15" hidden="false" customHeight="false" outlineLevel="0" collapsed="false">
      <c r="B21" s="15" t="s">
        <v>242</v>
      </c>
      <c r="C21" s="23" t="n">
        <f aca="false">ROUND(C20*0.04,0)</f>
        <v>0</v>
      </c>
    </row>
    <row r="22" customFormat="false" ht="15" hidden="false" customHeight="false" outlineLevel="0" collapsed="false">
      <c r="B22" s="15" t="s">
        <v>243</v>
      </c>
      <c r="C22" s="34" t="n">
        <f aca="false">C20+C21</f>
        <v>0</v>
      </c>
    </row>
    <row r="24" customFormat="false" ht="15" hidden="false" customHeight="false" outlineLevel="0" collapsed="false">
      <c r="B24" s="3" t="s">
        <v>244</v>
      </c>
      <c r="C24" s="3"/>
      <c r="D24" s="3"/>
    </row>
    <row r="25" customFormat="false" ht="15" hidden="false" customHeight="false" outlineLevel="0" collapsed="false">
      <c r="B25" s="15" t="s">
        <v>245</v>
      </c>
      <c r="C25" s="37" t="n">
        <v>75000</v>
      </c>
    </row>
    <row r="26" customFormat="false" ht="15" hidden="false" customHeight="false" outlineLevel="0" collapsed="false">
      <c r="B26" s="15" t="s">
        <v>246</v>
      </c>
      <c r="C26" s="23" t="n">
        <f aca="false">C11</f>
        <v>0</v>
      </c>
    </row>
    <row r="27" customFormat="false" ht="15" hidden="false" customHeight="false" outlineLevel="0" collapsed="false">
      <c r="B27" s="15" t="s">
        <v>247</v>
      </c>
      <c r="C27" s="23" t="n">
        <f aca="false">MAX(0,C3-75000-C11)</f>
        <v>765000</v>
      </c>
    </row>
    <row r="28" customFormat="false" ht="15" hidden="false" customHeight="false" outlineLevel="0" collapsed="false">
      <c r="B28" s="15" t="s">
        <v>248</v>
      </c>
      <c r="C28" s="23" t="n">
        <f aca="false">MAX(0,MIN(C27,800000)-400000)*0.05+MAX(0,MIN(C27,1200000)-800000)*0.1+MAX(0,MIN(C27,1600000)-1200000)*0.15+MAX(0,MIN(C27,2000000)-1600000)*0.2+MAX(0,MIN(C27,2400000)-2000000)*0.25+MAX(0,C27-2400000)*0.3</f>
        <v>18250</v>
      </c>
    </row>
    <row r="29" customFormat="false" ht="15" hidden="false" customHeight="false" outlineLevel="0" collapsed="false">
      <c r="B29" s="15" t="s">
        <v>249</v>
      </c>
      <c r="C29" s="23" t="n">
        <f aca="false">IF(C27&lt;=1200000,C28,0)</f>
        <v>18250</v>
      </c>
    </row>
    <row r="30" customFormat="false" ht="15" hidden="false" customHeight="false" outlineLevel="0" collapsed="false">
      <c r="B30" s="15" t="s">
        <v>250</v>
      </c>
      <c r="C30" s="23" t="n">
        <f aca="false">MAX(0,C28-C29)</f>
        <v>0</v>
      </c>
    </row>
    <row r="31" customFormat="false" ht="15" hidden="false" customHeight="false" outlineLevel="0" collapsed="false">
      <c r="B31" s="15" t="s">
        <v>251</v>
      </c>
      <c r="C31" s="23" t="n">
        <f aca="false">ROUND(C30*0.04,0)</f>
        <v>0</v>
      </c>
    </row>
    <row r="32" customFormat="false" ht="15" hidden="false" customHeight="false" outlineLevel="0" collapsed="false">
      <c r="B32" s="15" t="s">
        <v>252</v>
      </c>
      <c r="C32" s="34" t="n">
        <f aca="false">C30+C31</f>
        <v>0</v>
      </c>
    </row>
    <row r="34" customFormat="false" ht="15" hidden="false" customHeight="false" outlineLevel="0" collapsed="false">
      <c r="B34" s="3" t="s">
        <v>253</v>
      </c>
      <c r="C34" s="3"/>
      <c r="D34" s="3"/>
    </row>
    <row r="35" customFormat="false" ht="15" hidden="false" customHeight="false" outlineLevel="0" collapsed="false">
      <c r="B35" s="15" t="s">
        <v>254</v>
      </c>
      <c r="C35" s="23" t="n">
        <f aca="false">C22-C32</f>
        <v>0</v>
      </c>
    </row>
    <row r="36" customFormat="false" ht="15" hidden="false" customHeight="false" outlineLevel="0" collapsed="false">
      <c r="B36" s="15" t="s">
        <v>255</v>
      </c>
      <c r="C36" s="38" t="str">
        <f aca="false">IF(C22&lt;C32,"Old Regime saves ₹"&amp;TEXT(ABS(C35),"#,##0"),"New Regime saves ₹"&amp;TEXT(ABS(C35),"#,##0"))</f>
        <v>New Regime saves ₹0</v>
      </c>
    </row>
    <row r="37" customFormat="false" ht="15" hidden="false" customHeight="false" outlineLevel="0" collapsed="false">
      <c r="B37" s="15" t="s">
        <v>256</v>
      </c>
      <c r="C37" s="23" t="n">
        <f aca="false">ROUND(MIN(C22,C32)/12,0)</f>
        <v>0</v>
      </c>
    </row>
    <row r="39" customFormat="false" ht="39.75" hidden="false" customHeight="true" outlineLevel="0" collapsed="false">
      <c r="B39" s="39" t="s">
        <v>257</v>
      </c>
      <c r="C39" s="39"/>
      <c r="D39" s="39"/>
    </row>
    <row r="41" customFormat="false" ht="15.75" hidden="false" customHeight="true" outlineLevel="0" collapsed="false">
      <c r="A41" s="13" t="s">
        <v>29</v>
      </c>
      <c r="B41" s="13"/>
      <c r="C41" s="13"/>
      <c r="D41" s="13"/>
      <c r="E41" s="13"/>
    </row>
  </sheetData>
  <mergeCells count="7">
    <mergeCell ref="B1:D1"/>
    <mergeCell ref="B2:D2"/>
    <mergeCell ref="B13:D13"/>
    <mergeCell ref="B24:D24"/>
    <mergeCell ref="B34:D34"/>
    <mergeCell ref="B39:D39"/>
    <mergeCell ref="A41:E4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8"/>
    <col collapsed="false" customWidth="true" hidden="false" outlineLevel="0" max="3" min="3" style="0" width="18"/>
    <col collapsed="false" customWidth="true" hidden="false" outlineLevel="0" max="6" min="4" style="0" width="14"/>
    <col collapsed="false" customWidth="true" hidden="false" outlineLevel="0" max="7" min="7" style="0" width="3"/>
  </cols>
  <sheetData>
    <row r="1" customFormat="false" ht="16.15" hidden="false" customHeight="true" outlineLevel="0" collapsed="false">
      <c r="B1" s="27" t="s">
        <v>258</v>
      </c>
      <c r="C1" s="27"/>
      <c r="D1" s="27"/>
      <c r="E1" s="27"/>
      <c r="F1" s="27"/>
    </row>
    <row r="2" customFormat="false" ht="15" hidden="false" customHeight="false" outlineLevel="0" collapsed="false">
      <c r="B2" s="3" t="s">
        <v>259</v>
      </c>
      <c r="C2" s="3"/>
      <c r="D2" s="3"/>
      <c r="E2" s="3"/>
      <c r="F2" s="3"/>
    </row>
    <row r="3" customFormat="false" ht="15" hidden="false" customHeight="false" outlineLevel="0" collapsed="false">
      <c r="B3" s="28" t="s">
        <v>260</v>
      </c>
      <c r="C3" s="28" t="s">
        <v>261</v>
      </c>
      <c r="D3" s="28" t="s">
        <v>262</v>
      </c>
      <c r="E3" s="28" t="s">
        <v>263</v>
      </c>
      <c r="F3" s="28" t="s">
        <v>264</v>
      </c>
    </row>
    <row r="4" customFormat="false" ht="15" hidden="false" customHeight="false" outlineLevel="0" collapsed="false">
      <c r="B4" s="16" t="s">
        <v>265</v>
      </c>
      <c r="C4" s="17" t="n">
        <v>150000</v>
      </c>
      <c r="D4" s="24" t="n">
        <f aca="false">IF(SUM($C$4:$C$13)=0,0,C4/SUM($C$4:$C$13))</f>
        <v>0.112781954887218</v>
      </c>
      <c r="E4" s="32" t="n">
        <v>0.1</v>
      </c>
      <c r="F4" s="40" t="str">
        <f aca="false">IF(ABS(D4-E4)&lt;0.03,"✅ OK","⚠️ Rebalance")</f>
        <v>✅ OK</v>
      </c>
    </row>
    <row r="5" customFormat="false" ht="15" hidden="false" customHeight="false" outlineLevel="0" collapsed="false">
      <c r="B5" s="16" t="s">
        <v>266</v>
      </c>
      <c r="C5" s="17" t="n">
        <v>200000</v>
      </c>
      <c r="D5" s="24" t="n">
        <f aca="false">IF(SUM($C$4:$C$13)=0,0,C5/SUM($C$4:$C$13))</f>
        <v>0.150375939849624</v>
      </c>
      <c r="E5" s="32" t="n">
        <v>0.1</v>
      </c>
      <c r="F5" s="40" t="str">
        <f aca="false">IF(ABS(D5-E5)&lt;0.03,"✅ OK","⚠️ Rebalance")</f>
        <v>⚠️ Rebalance</v>
      </c>
    </row>
    <row r="6" customFormat="false" ht="15" hidden="false" customHeight="false" outlineLevel="0" collapsed="false">
      <c r="B6" s="16" t="s">
        <v>267</v>
      </c>
      <c r="C6" s="17" t="n">
        <v>350000</v>
      </c>
      <c r="D6" s="24" t="n">
        <f aca="false">IF(SUM($C$4:$C$13)=0,0,C6/SUM($C$4:$C$13))</f>
        <v>0.263157894736842</v>
      </c>
      <c r="E6" s="32" t="n">
        <v>0.3</v>
      </c>
      <c r="F6" s="40" t="str">
        <f aca="false">IF(ABS(D6-E6)&lt;0.03,"✅ OK","⚠️ Rebalance")</f>
        <v>⚠️ Rebalance</v>
      </c>
    </row>
    <row r="7" customFormat="false" ht="15" hidden="false" customHeight="false" outlineLevel="0" collapsed="false">
      <c r="B7" s="16" t="s">
        <v>268</v>
      </c>
      <c r="C7" s="17" t="n">
        <v>100000</v>
      </c>
      <c r="D7" s="24" t="n">
        <f aca="false">IF(SUM($C$4:$C$13)=0,0,C7/SUM($C$4:$C$13))</f>
        <v>0.075187969924812</v>
      </c>
      <c r="E7" s="32" t="n">
        <v>0.15</v>
      </c>
      <c r="F7" s="40" t="str">
        <f aca="false">IF(ABS(D7-E7)&lt;0.03,"✅ OK","⚠️ Rebalance")</f>
        <v>⚠️ Rebalance</v>
      </c>
    </row>
    <row r="8" customFormat="false" ht="15" hidden="false" customHeight="false" outlineLevel="0" collapsed="false">
      <c r="B8" s="16" t="s">
        <v>269</v>
      </c>
      <c r="C8" s="17" t="n">
        <v>180000</v>
      </c>
      <c r="D8" s="24" t="n">
        <f aca="false">IF(SUM($C$4:$C$13)=0,0,C8/SUM($C$4:$C$13))</f>
        <v>0.135338345864662</v>
      </c>
      <c r="E8" s="32" t="n">
        <v>0.1</v>
      </c>
      <c r="F8" s="40" t="str">
        <f aca="false">IF(ABS(D8-E8)&lt;0.03,"✅ OK","⚠️ Rebalance")</f>
        <v>⚠️ Rebalance</v>
      </c>
    </row>
    <row r="9" customFormat="false" ht="15" hidden="false" customHeight="false" outlineLevel="0" collapsed="false">
      <c r="B9" s="16" t="s">
        <v>99</v>
      </c>
      <c r="C9" s="17" t="n">
        <v>50000</v>
      </c>
      <c r="D9" s="24" t="n">
        <f aca="false">IF(SUM($C$4:$C$13)=0,0,C9/SUM($C$4:$C$13))</f>
        <v>0.037593984962406</v>
      </c>
      <c r="E9" s="32" t="n">
        <v>0.05</v>
      </c>
      <c r="F9" s="40" t="str">
        <f aca="false">IF(ABS(D9-E9)&lt;0.03,"✅ OK","⚠️ Rebalance")</f>
        <v>✅ OK</v>
      </c>
    </row>
    <row r="10" customFormat="false" ht="15" hidden="false" customHeight="false" outlineLevel="0" collapsed="false">
      <c r="B10" s="16" t="s">
        <v>270</v>
      </c>
      <c r="C10" s="17" t="n">
        <v>220000</v>
      </c>
      <c r="D10" s="24" t="n">
        <f aca="false">IF(SUM($C$4:$C$13)=0,0,C10/SUM($C$4:$C$13))</f>
        <v>0.165413533834586</v>
      </c>
      <c r="E10" s="32" t="n">
        <v>0.1</v>
      </c>
      <c r="F10" s="40" t="str">
        <f aca="false">IF(ABS(D10-E10)&lt;0.03,"✅ OK","⚠️ Rebalance")</f>
        <v>⚠️ Rebalance</v>
      </c>
    </row>
    <row r="11" customFormat="false" ht="15" hidden="false" customHeight="false" outlineLevel="0" collapsed="false">
      <c r="B11" s="16" t="s">
        <v>271</v>
      </c>
      <c r="C11" s="17" t="n">
        <v>0</v>
      </c>
      <c r="D11" s="24" t="n">
        <f aca="false">IF(SUM($C$4:$C$13)=0,0,C11/SUM($C$4:$C$13))</f>
        <v>0</v>
      </c>
      <c r="E11" s="32" t="n">
        <v>0</v>
      </c>
      <c r="F11" s="40" t="str">
        <f aca="false">IF(ABS(D11-E11)&lt;0.03,"✅ OK","⚠️ Rebalance")</f>
        <v>✅ OK</v>
      </c>
    </row>
    <row r="12" customFormat="false" ht="15" hidden="false" customHeight="false" outlineLevel="0" collapsed="false">
      <c r="B12" s="16" t="s">
        <v>272</v>
      </c>
      <c r="C12" s="17" t="n">
        <v>80000</v>
      </c>
      <c r="D12" s="24" t="n">
        <f aca="false">IF(SUM($C$4:$C$13)=0,0,C12/SUM($C$4:$C$13))</f>
        <v>0.0601503759398496</v>
      </c>
      <c r="E12" s="32" t="n">
        <v>0.05</v>
      </c>
      <c r="F12" s="40" t="str">
        <f aca="false">IF(ABS(D12-E12)&lt;0.03,"✅ OK","⚠️ Rebalance")</f>
        <v>✅ OK</v>
      </c>
    </row>
    <row r="13" customFormat="false" ht="15" hidden="false" customHeight="false" outlineLevel="0" collapsed="false">
      <c r="B13" s="16" t="s">
        <v>273</v>
      </c>
      <c r="C13" s="17" t="n">
        <v>0</v>
      </c>
      <c r="D13" s="24" t="n">
        <f aca="false">IF(SUM($C$4:$C$13)=0,0,C13/SUM($C$4:$C$13))</f>
        <v>0</v>
      </c>
      <c r="E13" s="32" t="n">
        <v>0.05</v>
      </c>
      <c r="F13" s="40" t="str">
        <f aca="false">IF(ABS(D13-E13)&lt;0.03,"✅ OK","⚠️ Rebalance")</f>
        <v>⚠️ Rebalance</v>
      </c>
    </row>
    <row r="14" customFormat="false" ht="15" hidden="false" customHeight="false" outlineLevel="0" collapsed="false">
      <c r="B14" s="15" t="s">
        <v>274</v>
      </c>
      <c r="C14" s="18" t="n">
        <f aca="false">SUM(C4:C13)</f>
        <v>1330000</v>
      </c>
    </row>
    <row r="16" customFormat="false" ht="15" hidden="false" customHeight="false" outlineLevel="0" collapsed="false">
      <c r="B16" s="3" t="s">
        <v>275</v>
      </c>
      <c r="C16" s="3"/>
      <c r="D16" s="3"/>
      <c r="E16" s="3"/>
      <c r="F16" s="3"/>
    </row>
    <row r="17" customFormat="false" ht="15" hidden="false" customHeight="false" outlineLevel="0" collapsed="false">
      <c r="B17" s="0" t="s">
        <v>276</v>
      </c>
      <c r="C17" s="0" t="s">
        <v>277</v>
      </c>
    </row>
    <row r="18" customFormat="false" ht="15" hidden="false" customHeight="false" outlineLevel="0" collapsed="false">
      <c r="B18" s="16" t="s">
        <v>63</v>
      </c>
      <c r="C18" s="17" t="n">
        <v>2500000</v>
      </c>
    </row>
    <row r="19" customFormat="false" ht="15" hidden="false" customHeight="false" outlineLevel="0" collapsed="false">
      <c r="B19" s="16" t="s">
        <v>64</v>
      </c>
      <c r="C19" s="17" t="n">
        <v>150000</v>
      </c>
    </row>
    <row r="20" customFormat="false" ht="15" hidden="false" customHeight="false" outlineLevel="0" collapsed="false">
      <c r="B20" s="16" t="s">
        <v>278</v>
      </c>
      <c r="C20" s="17" t="n">
        <v>25000</v>
      </c>
    </row>
    <row r="21" customFormat="false" ht="15" hidden="false" customHeight="false" outlineLevel="0" collapsed="false">
      <c r="B21" s="16" t="s">
        <v>66</v>
      </c>
      <c r="C21" s="17" t="n">
        <v>0</v>
      </c>
    </row>
    <row r="22" customFormat="false" ht="15" hidden="false" customHeight="false" outlineLevel="0" collapsed="false">
      <c r="B22" s="16" t="s">
        <v>67</v>
      </c>
      <c r="C22" s="17" t="n">
        <v>300000</v>
      </c>
    </row>
    <row r="23" customFormat="false" ht="15" hidden="false" customHeight="false" outlineLevel="0" collapsed="false">
      <c r="B23" s="15" t="s">
        <v>279</v>
      </c>
      <c r="C23" s="41" t="n">
        <f aca="false">SUM(C18:C22)</f>
        <v>2975000</v>
      </c>
    </row>
    <row r="25" customFormat="false" ht="16.15" hidden="false" customHeight="false" outlineLevel="0" collapsed="false">
      <c r="B25" s="15" t="s">
        <v>280</v>
      </c>
      <c r="C25" s="42" t="n">
        <f aca="false">C14-C23</f>
        <v>-1645000</v>
      </c>
    </row>
    <row r="28" customFormat="false" ht="15.75" hidden="false" customHeight="true" outlineLevel="0" collapsed="false">
      <c r="A28" s="13" t="s">
        <v>29</v>
      </c>
      <c r="B28" s="13"/>
      <c r="C28" s="13"/>
      <c r="D28" s="13"/>
      <c r="E28" s="13"/>
      <c r="F28" s="13"/>
      <c r="G28" s="13"/>
    </row>
  </sheetData>
  <mergeCells count="4">
    <mergeCell ref="B1:F1"/>
    <mergeCell ref="B2:F2"/>
    <mergeCell ref="B16:F16"/>
    <mergeCell ref="A28:G28"/>
  </mergeCells>
  <conditionalFormatting sqref="F4">
    <cfRule type="expression" priority="2" aboveAverage="0" equalAverage="0" bottom="0" percent="0" rank="0" text="" dxfId="1">
      <formula>E4&gt;D4+0.03</formula>
    </cfRule>
    <cfRule type="expression" priority="3" aboveAverage="0" equalAverage="0" bottom="0" percent="0" rank="0" text="" dxfId="0">
      <formula>D4&lt;=E4+0.03</formula>
    </cfRule>
  </conditionalFormatting>
  <conditionalFormatting sqref="F5">
    <cfRule type="expression" priority="4" aboveAverage="0" equalAverage="0" bottom="0" percent="0" rank="0" text="" dxfId="1">
      <formula>E5&gt;D5+0.03</formula>
    </cfRule>
    <cfRule type="expression" priority="5" aboveAverage="0" equalAverage="0" bottom="0" percent="0" rank="0" text="" dxfId="0">
      <formula>D5&lt;=E5+0.03</formula>
    </cfRule>
  </conditionalFormatting>
  <conditionalFormatting sqref="F6">
    <cfRule type="expression" priority="6" aboveAverage="0" equalAverage="0" bottom="0" percent="0" rank="0" text="" dxfId="1">
      <formula>E6&gt;D6+0.03</formula>
    </cfRule>
    <cfRule type="expression" priority="7" aboveAverage="0" equalAverage="0" bottom="0" percent="0" rank="0" text="" dxfId="0">
      <formula>D6&lt;=E6+0.03</formula>
    </cfRule>
  </conditionalFormatting>
  <conditionalFormatting sqref="F7">
    <cfRule type="expression" priority="8" aboveAverage="0" equalAverage="0" bottom="0" percent="0" rank="0" text="" dxfId="1">
      <formula>E7&gt;D7+0.03</formula>
    </cfRule>
    <cfRule type="expression" priority="9" aboveAverage="0" equalAverage="0" bottom="0" percent="0" rank="0" text="" dxfId="0">
      <formula>D7&lt;=E7+0.03</formula>
    </cfRule>
  </conditionalFormatting>
  <conditionalFormatting sqref="F8">
    <cfRule type="expression" priority="10" aboveAverage="0" equalAverage="0" bottom="0" percent="0" rank="0" text="" dxfId="1">
      <formula>E8&gt;D8+0.03</formula>
    </cfRule>
    <cfRule type="expression" priority="11" aboveAverage="0" equalAverage="0" bottom="0" percent="0" rank="0" text="" dxfId="0">
      <formula>D8&lt;=E8+0.03</formula>
    </cfRule>
  </conditionalFormatting>
  <conditionalFormatting sqref="F9">
    <cfRule type="expression" priority="12" aboveAverage="0" equalAverage="0" bottom="0" percent="0" rank="0" text="" dxfId="1">
      <formula>E9&gt;D9+0.03</formula>
    </cfRule>
    <cfRule type="expression" priority="13" aboveAverage="0" equalAverage="0" bottom="0" percent="0" rank="0" text="" dxfId="0">
      <formula>D9&lt;=E9+0.03</formula>
    </cfRule>
  </conditionalFormatting>
  <conditionalFormatting sqref="F10">
    <cfRule type="expression" priority="14" aboveAverage="0" equalAverage="0" bottom="0" percent="0" rank="0" text="" dxfId="1">
      <formula>E10&gt;D10+0.03</formula>
    </cfRule>
    <cfRule type="expression" priority="15" aboveAverage="0" equalAverage="0" bottom="0" percent="0" rank="0" text="" dxfId="0">
      <formula>D10&lt;=E10+0.03</formula>
    </cfRule>
  </conditionalFormatting>
  <conditionalFormatting sqref="F11">
    <cfRule type="expression" priority="16" aboveAverage="0" equalAverage="0" bottom="0" percent="0" rank="0" text="" dxfId="1">
      <formula>E11&gt;D11+0.03</formula>
    </cfRule>
    <cfRule type="expression" priority="17" aboveAverage="0" equalAverage="0" bottom="0" percent="0" rank="0" text="" dxfId="0">
      <formula>D11&lt;=E11+0.03</formula>
    </cfRule>
  </conditionalFormatting>
  <conditionalFormatting sqref="F12">
    <cfRule type="expression" priority="18" aboveAverage="0" equalAverage="0" bottom="0" percent="0" rank="0" text="" dxfId="1">
      <formula>E12&gt;D12+0.03</formula>
    </cfRule>
    <cfRule type="expression" priority="19" aboveAverage="0" equalAverage="0" bottom="0" percent="0" rank="0" text="" dxfId="0">
      <formula>D12&lt;=E12+0.03</formula>
    </cfRule>
  </conditionalFormatting>
  <conditionalFormatting sqref="F13">
    <cfRule type="expression" priority="20" aboveAverage="0" equalAverage="0" bottom="0" percent="0" rank="0" text="" dxfId="1">
      <formula>E13&gt;D13+0.03</formula>
    </cfRule>
    <cfRule type="expression" priority="21" aboveAverage="0" equalAverage="0" bottom="0" percent="0" rank="0" text="" dxfId="0">
      <formula>D13&lt;=E13+0.03</formula>
    </cfRule>
  </conditionalFormatting>
  <conditionalFormatting sqref="C25">
    <cfRule type="cellIs" priority="22" operator="greaterThan" aboveAverage="0" equalAverage="0" bottom="0" percent="0" rank="0" text="" dxfId="0">
      <formula>0</formula>
    </cfRule>
    <cfRule type="cellIs" priority="23" operator="lessThan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4"/>
    <col collapsed="false" customWidth="true" hidden="false" outlineLevel="0" max="3" min="3" style="0" width="14"/>
    <col collapsed="false" customWidth="true" hidden="false" outlineLevel="0" max="4" min="4" style="0" width="12"/>
    <col collapsed="false" customWidth="true" hidden="false" outlineLevel="0" max="5" min="5" style="0" width="18"/>
    <col collapsed="false" customWidth="true" hidden="false" outlineLevel="0" max="6" min="6" style="0" width="3"/>
  </cols>
  <sheetData>
    <row r="1" customFormat="false" ht="17.35" hidden="false" customHeight="true" outlineLevel="0" collapsed="false">
      <c r="B1" s="14" t="s">
        <v>281</v>
      </c>
      <c r="C1" s="14"/>
      <c r="D1" s="14"/>
      <c r="E1" s="14"/>
    </row>
    <row r="2" customFormat="false" ht="15" hidden="false" customHeight="false" outlineLevel="0" collapsed="false">
      <c r="B2" s="43" t="s">
        <v>74</v>
      </c>
      <c r="C2" s="43" t="s">
        <v>282</v>
      </c>
      <c r="D2" s="43" t="s">
        <v>283</v>
      </c>
      <c r="E2" s="43" t="s">
        <v>284</v>
      </c>
    </row>
    <row r="3" customFormat="false" ht="15" hidden="false" customHeight="false" outlineLevel="0" collapsed="false">
      <c r="B3" s="15" t="s">
        <v>285</v>
      </c>
      <c r="C3" s="44" t="n">
        <f aca="false">MIN(10,ROUND('🧾 Monthly Budget'!C33/0.02,0))</f>
        <v>7</v>
      </c>
      <c r="D3" s="45" t="n">
        <v>0.25</v>
      </c>
      <c r="E3" s="46" t="n">
        <f aca="false">C3*D3</f>
        <v>1.75</v>
      </c>
    </row>
    <row r="4" customFormat="false" ht="15" hidden="false" customHeight="false" outlineLevel="0" collapsed="false">
      <c r="B4" s="15" t="s">
        <v>286</v>
      </c>
      <c r="C4" s="44" t="n">
        <f aca="false">MAX(0,10-ROUND('💳 Debt &amp; EMIs'!C16/0.03,0))</f>
        <v>10</v>
      </c>
      <c r="D4" s="45" t="n">
        <v>0.15</v>
      </c>
      <c r="E4" s="46" t="n">
        <f aca="false">C4*D4</f>
        <v>1.5</v>
      </c>
    </row>
    <row r="5" customFormat="false" ht="15" hidden="false" customHeight="false" outlineLevel="0" collapsed="false">
      <c r="B5" s="15" t="s">
        <v>287</v>
      </c>
      <c r="C5" s="44" t="n">
        <f aca="false">ROUND('🛡️ Emergency Fund'!C9*10,0)</f>
        <v>2</v>
      </c>
      <c r="D5" s="45" t="n">
        <v>0.2</v>
      </c>
      <c r="E5" s="46" t="n">
        <f aca="false">C5*D5</f>
        <v>0.4</v>
      </c>
    </row>
    <row r="6" customFormat="false" ht="15" hidden="false" customHeight="false" outlineLevel="0" collapsed="false">
      <c r="B6" s="15" t="s">
        <v>288</v>
      </c>
      <c r="C6" s="44" t="n">
        <f aca="false">IF('💼 Net Worth &amp; Portfolio'!C27&gt;0,MIN(10,5+ROUND('💼 Net Worth &amp; Portfolio'!C27/500000,0)),2)</f>
        <v>2</v>
      </c>
      <c r="D6" s="45" t="n">
        <v>0.1</v>
      </c>
      <c r="E6" s="46" t="n">
        <f aca="false">C6*D6</f>
        <v>0.2</v>
      </c>
    </row>
    <row r="7" customFormat="false" ht="15" hidden="false" customHeight="false" outlineLevel="0" collapsed="false">
      <c r="B7" s="15" t="s">
        <v>289</v>
      </c>
      <c r="C7" s="22" t="n">
        <v>7</v>
      </c>
      <c r="D7" s="45" t="n">
        <v>0.1</v>
      </c>
      <c r="E7" s="46" t="n">
        <f aca="false">C7*D7</f>
        <v>0.7</v>
      </c>
    </row>
    <row r="8" customFormat="false" ht="15" hidden="false" customHeight="false" outlineLevel="0" collapsed="false">
      <c r="B8" s="15" t="s">
        <v>290</v>
      </c>
      <c r="C8" s="22" t="n">
        <v>6</v>
      </c>
      <c r="D8" s="45" t="n">
        <v>0.1</v>
      </c>
      <c r="E8" s="46" t="n">
        <f aca="false">C8*D8</f>
        <v>0.6</v>
      </c>
    </row>
    <row r="9" customFormat="false" ht="15" hidden="false" customHeight="false" outlineLevel="0" collapsed="false">
      <c r="B9" s="15" t="s">
        <v>291</v>
      </c>
      <c r="C9" s="44" t="n">
        <f aca="false">ROUND(AVERAGE('🎯 Goals Tracker'!G3:G12)*10,0)</f>
        <v>1</v>
      </c>
      <c r="D9" s="45" t="n">
        <v>0.1</v>
      </c>
      <c r="E9" s="46" t="n">
        <f aca="false">C9*D9</f>
        <v>0.1</v>
      </c>
    </row>
    <row r="10" customFormat="false" ht="16.15" hidden="false" customHeight="false" outlineLevel="0" collapsed="false">
      <c r="B10" s="15" t="s">
        <v>292</v>
      </c>
      <c r="E10" s="47" t="n">
        <f aca="false">ROUND(SUM(E3:E9),1)</f>
        <v>5.3</v>
      </c>
    </row>
    <row r="11" customFormat="false" ht="15" hidden="false" customHeight="false" outlineLevel="0" collapsed="false">
      <c r="B11" s="15" t="s">
        <v>293</v>
      </c>
      <c r="E11" s="31" t="str">
        <f aca="false">IF(E10&gt;=8,"🟢 Protect Phase",IF(E10&gt;=6,"🟡 Growth Phase",IF(E10&gt;=4,"🟠 Build Phase","🔴 Foundation Phase")))</f>
        <v>🟠 Build Phase</v>
      </c>
    </row>
    <row r="13" customFormat="false" ht="15" hidden="false" customHeight="false" outlineLevel="0" collapsed="false">
      <c r="B13" s="3" t="s">
        <v>294</v>
      </c>
      <c r="C13" s="3"/>
      <c r="D13" s="3"/>
      <c r="E13" s="3"/>
    </row>
    <row r="14" customFormat="false" ht="30" hidden="false" customHeight="true" outlineLevel="0" collapsed="false">
      <c r="B14" s="48" t="str">
        <f aca="false">IF(C3&lt;5,"Action 1: Boost your Savings Rate – target 20%+ of income. Start by automating ₹1,000 more to SIP.",IF(C4&lt;5,"Action 1: Your EMI burden is high. Prioritise prepaying the highest-interest loan.","Action 1: Great savings rate! Now maximise 80C investments before March."))</f>
        <v>Action 1: Great savings rate! Now maximise 80C investments before March.</v>
      </c>
      <c r="C14" s="48"/>
      <c r="D14" s="48"/>
      <c r="E14" s="48"/>
    </row>
    <row r="15" customFormat="false" ht="30" hidden="false" customHeight="true" outlineLevel="0" collapsed="false">
      <c r="B15" s="48" t="str">
        <f aca="false">IF(C5&lt;5,"Action 2: Emergency Fund is critically low. Redirect all surplus to liquid savings until you hit 6 months.","Action 2: Check your emergency fund coverage and top it up if below 80% target.")</f>
        <v>Action 2: Emergency Fund is critically low. Redirect all surplus to liquid savings until you hit 6 months.</v>
      </c>
      <c r="C15" s="48"/>
      <c r="D15" s="48"/>
      <c r="E15" s="48"/>
    </row>
    <row r="16" customFormat="false" ht="24.75" hidden="false" customHeight="true" outlineLevel="0" collapsed="false">
      <c r="B16" s="48" t="s">
        <v>295</v>
      </c>
      <c r="C16" s="48"/>
      <c r="D16" s="48"/>
      <c r="E16" s="48"/>
    </row>
    <row r="19" customFormat="false" ht="15.75" hidden="false" customHeight="true" outlineLevel="0" collapsed="false">
      <c r="A19" s="13" t="s">
        <v>29</v>
      </c>
      <c r="B19" s="13"/>
      <c r="C19" s="13"/>
      <c r="D19" s="13"/>
      <c r="E19" s="13"/>
      <c r="F19" s="13"/>
    </row>
  </sheetData>
  <mergeCells count="6">
    <mergeCell ref="B1:E1"/>
    <mergeCell ref="B13:E13"/>
    <mergeCell ref="B14:E14"/>
    <mergeCell ref="B15:E15"/>
    <mergeCell ref="B16:E16"/>
    <mergeCell ref="A19:F19"/>
  </mergeCells>
  <conditionalFormatting sqref="C3">
    <cfRule type="cellIs" priority="2" operator="greaterThanOrEqual" aboveAverage="0" equalAverage="0" bottom="0" percent="0" rank="0" text="" dxfId="0">
      <formula>7</formula>
    </cfRule>
    <cfRule type="cellIs" priority="3" operator="between" aboveAverage="0" equalAverage="0" bottom="0" percent="0" rank="0" text="" dxfId="1">
      <formula>4</formula>
      <formula>6</formula>
    </cfRule>
    <cfRule type="cellIs" priority="4" operator="lessThan" aboveAverage="0" equalAverage="0" bottom="0" percent="0" rank="0" text="" dxfId="2">
      <formula>4</formula>
    </cfRule>
  </conditionalFormatting>
  <conditionalFormatting sqref="C4">
    <cfRule type="cellIs" priority="5" operator="greaterThanOrEqual" aboveAverage="0" equalAverage="0" bottom="0" percent="0" rank="0" text="" dxfId="0">
      <formula>7</formula>
    </cfRule>
    <cfRule type="cellIs" priority="6" operator="between" aboveAverage="0" equalAverage="0" bottom="0" percent="0" rank="0" text="" dxfId="1">
      <formula>4</formula>
      <formula>6</formula>
    </cfRule>
    <cfRule type="cellIs" priority="7" operator="lessThan" aboveAverage="0" equalAverage="0" bottom="0" percent="0" rank="0" text="" dxfId="2">
      <formula>4</formula>
    </cfRule>
  </conditionalFormatting>
  <conditionalFormatting sqref="C5">
    <cfRule type="cellIs" priority="8" operator="greaterThanOrEqual" aboveAverage="0" equalAverage="0" bottom="0" percent="0" rank="0" text="" dxfId="0">
      <formula>7</formula>
    </cfRule>
    <cfRule type="cellIs" priority="9" operator="between" aboveAverage="0" equalAverage="0" bottom="0" percent="0" rank="0" text="" dxfId="1">
      <formula>4</formula>
      <formula>6</formula>
    </cfRule>
    <cfRule type="cellIs" priority="10" operator="lessThan" aboveAverage="0" equalAverage="0" bottom="0" percent="0" rank="0" text="" dxfId="2">
      <formula>4</formula>
    </cfRule>
  </conditionalFormatting>
  <conditionalFormatting sqref="C6">
    <cfRule type="cellIs" priority="11" operator="greaterThanOrEqual" aboveAverage="0" equalAverage="0" bottom="0" percent="0" rank="0" text="" dxfId="0">
      <formula>7</formula>
    </cfRule>
    <cfRule type="cellIs" priority="12" operator="between" aboveAverage="0" equalAverage="0" bottom="0" percent="0" rank="0" text="" dxfId="1">
      <formula>4</formula>
      <formula>6</formula>
    </cfRule>
    <cfRule type="cellIs" priority="13" operator="lessThan" aboveAverage="0" equalAverage="0" bottom="0" percent="0" rank="0" text="" dxfId="2">
      <formula>4</formula>
    </cfRule>
  </conditionalFormatting>
  <conditionalFormatting sqref="C7">
    <cfRule type="cellIs" priority="14" operator="greaterThanOrEqual" aboveAverage="0" equalAverage="0" bottom="0" percent="0" rank="0" text="" dxfId="0">
      <formula>7</formula>
    </cfRule>
    <cfRule type="cellIs" priority="15" operator="between" aboveAverage="0" equalAverage="0" bottom="0" percent="0" rank="0" text="" dxfId="1">
      <formula>4</formula>
      <formula>6</formula>
    </cfRule>
    <cfRule type="cellIs" priority="16" operator="lessThan" aboveAverage="0" equalAverage="0" bottom="0" percent="0" rank="0" text="" dxfId="2">
      <formula>4</formula>
    </cfRule>
  </conditionalFormatting>
  <conditionalFormatting sqref="C8">
    <cfRule type="cellIs" priority="17" operator="greaterThanOrEqual" aboveAverage="0" equalAverage="0" bottom="0" percent="0" rank="0" text="" dxfId="0">
      <formula>7</formula>
    </cfRule>
    <cfRule type="cellIs" priority="18" operator="between" aboveAverage="0" equalAverage="0" bottom="0" percent="0" rank="0" text="" dxfId="1">
      <formula>4</formula>
      <formula>6</formula>
    </cfRule>
    <cfRule type="cellIs" priority="19" operator="lessThan" aboveAverage="0" equalAverage="0" bottom="0" percent="0" rank="0" text="" dxfId="2">
      <formula>4</formula>
    </cfRule>
  </conditionalFormatting>
  <conditionalFormatting sqref="C9">
    <cfRule type="cellIs" priority="20" operator="greaterThanOrEqual" aboveAverage="0" equalAverage="0" bottom="0" percent="0" rank="0" text="" dxfId="0">
      <formula>7</formula>
    </cfRule>
    <cfRule type="cellIs" priority="21" operator="between" aboveAverage="0" equalAverage="0" bottom="0" percent="0" rank="0" text="" dxfId="1">
      <formula>4</formula>
      <formula>6</formula>
    </cfRule>
    <cfRule type="cellIs" priority="22" operator="lessThan" aboveAverage="0" equalAverage="0" bottom="0" percent="0" rank="0" text="" dxfId="2">
      <formula>4</formula>
    </cfRule>
  </conditionalFormatting>
  <conditionalFormatting sqref="E10">
    <cfRule type="cellIs" priority="23" operator="greaterThan" aboveAverage="0" equalAverage="0" bottom="0" percent="0" rank="0" text="" dxfId="0">
      <formula>7</formula>
    </cfRule>
    <cfRule type="cellIs" priority="24" operator="between" aboveAverage="0" equalAverage="0" bottom="0" percent="0" rank="0" text="" dxfId="1">
      <formula>5</formula>
      <formula>7</formula>
    </cfRule>
    <cfRule type="cellIs" priority="25" operator="lessThan" aboveAverage="0" equalAverage="0" bottom="0" percent="0" rank="0" text="" dxfId="2">
      <formula>5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0"/>
    <col collapsed="false" customWidth="true" hidden="false" outlineLevel="0" max="3" min="3" style="0" width="18"/>
    <col collapsed="false" customWidth="true" hidden="false" outlineLevel="0" max="4" min="4" style="0" width="20"/>
    <col collapsed="false" customWidth="true" hidden="false" outlineLevel="0" max="5" min="5" style="0" width="18"/>
    <col collapsed="false" customWidth="true" hidden="false" outlineLevel="0" max="6" min="6" style="0" width="20"/>
    <col collapsed="false" customWidth="true" hidden="false" outlineLevel="0" max="7" min="7" style="0" width="18"/>
    <col collapsed="false" customWidth="true" hidden="false" outlineLevel="0" max="8" min="8" style="0" width="2"/>
  </cols>
  <sheetData>
    <row r="1" customFormat="false" ht="17.35" hidden="false" customHeight="true" outlineLevel="0" collapsed="false">
      <c r="B1" s="14" t="s">
        <v>296</v>
      </c>
      <c r="C1" s="14"/>
      <c r="D1" s="14"/>
      <c r="E1" s="14"/>
      <c r="F1" s="14"/>
      <c r="G1" s="14"/>
    </row>
    <row r="3" customFormat="false" ht="15" hidden="false" customHeight="false" outlineLevel="0" collapsed="false">
      <c r="B3" s="3" t="s">
        <v>297</v>
      </c>
      <c r="C3" s="3"/>
      <c r="D3" s="3"/>
      <c r="E3" s="3"/>
      <c r="F3" s="3"/>
      <c r="G3" s="3"/>
    </row>
    <row r="4" customFormat="false" ht="18" hidden="false" customHeight="true" outlineLevel="0" collapsed="false">
      <c r="B4" s="49" t="s">
        <v>45</v>
      </c>
      <c r="C4" s="49"/>
      <c r="D4" s="49" t="s">
        <v>298</v>
      </c>
      <c r="E4" s="49"/>
      <c r="F4" s="49" t="s">
        <v>299</v>
      </c>
      <c r="G4" s="49"/>
    </row>
    <row r="5" customFormat="false" ht="31.5" hidden="false" customHeight="true" outlineLevel="0" collapsed="false">
      <c r="B5" s="50" t="n">
        <f aca="false">'📊 Income &amp; Profile'!C17</f>
        <v>60000</v>
      </c>
      <c r="C5" s="50"/>
      <c r="D5" s="50" t="n">
        <f aca="false">'🧾 Monthly Budget'!C32</f>
        <v>-8800</v>
      </c>
      <c r="E5" s="50"/>
      <c r="F5" s="51" t="n">
        <f aca="false">'🧾 Monthly Budget'!C33</f>
        <v>0.133333333333333</v>
      </c>
      <c r="G5" s="51"/>
    </row>
    <row r="6" customFormat="false" ht="18" hidden="false" customHeight="true" outlineLevel="0" collapsed="false">
      <c r="B6" s="49" t="s">
        <v>300</v>
      </c>
      <c r="C6" s="49"/>
      <c r="D6" s="49" t="s">
        <v>301</v>
      </c>
      <c r="E6" s="49"/>
      <c r="F6" s="49" t="s">
        <v>302</v>
      </c>
      <c r="G6" s="49"/>
    </row>
    <row r="7" customFormat="false" ht="31.5" hidden="false" customHeight="true" outlineLevel="0" collapsed="false">
      <c r="B7" s="51" t="n">
        <f aca="false">'💳 Debt &amp; EMIs'!C16</f>
        <v>0</v>
      </c>
      <c r="C7" s="51"/>
      <c r="D7" s="52" t="n">
        <f aca="false">'🛡️ Emergency Fund'!C9</f>
        <v>0.238095238095238</v>
      </c>
      <c r="E7" s="52"/>
      <c r="F7" s="50" t="n">
        <f aca="false">'💼 Net Worth &amp; Portfolio'!C27</f>
        <v>0</v>
      </c>
      <c r="G7" s="50"/>
    </row>
    <row r="8" customFormat="false" ht="18" hidden="false" customHeight="true" outlineLevel="0" collapsed="false">
      <c r="B8" s="49" t="s">
        <v>303</v>
      </c>
      <c r="C8" s="49"/>
      <c r="D8" s="49" t="s">
        <v>70</v>
      </c>
      <c r="E8" s="49"/>
      <c r="F8" s="49" t="s">
        <v>123</v>
      </c>
      <c r="G8" s="49"/>
    </row>
    <row r="9" customFormat="false" ht="31.5" hidden="false" customHeight="true" outlineLevel="0" collapsed="false">
      <c r="B9" s="53" t="n">
        <f aca="false">'🏆 Health Score Pro'!E10</f>
        <v>5.3</v>
      </c>
      <c r="C9" s="53"/>
      <c r="D9" s="50" t="n">
        <f aca="false">'💳 Debt &amp; EMIs'!E13</f>
        <v>0</v>
      </c>
      <c r="E9" s="50"/>
      <c r="F9" s="50" t="n">
        <f aca="false">'🔍 Leak Finder'!C13</f>
        <v>11100</v>
      </c>
      <c r="G9" s="50"/>
    </row>
    <row r="12" customFormat="false" ht="15" hidden="false" customHeight="false" outlineLevel="0" collapsed="false">
      <c r="B12" s="3" t="s">
        <v>304</v>
      </c>
      <c r="C12" s="3"/>
      <c r="D12" s="3"/>
      <c r="E12" s="3"/>
      <c r="F12" s="3"/>
      <c r="G12" s="3"/>
    </row>
    <row r="13" customFormat="false" ht="21.75" hidden="false" customHeight="true" outlineLevel="0" collapsed="false">
      <c r="B13" s="5" t="s">
        <v>305</v>
      </c>
      <c r="C13" s="5"/>
      <c r="D13" s="5"/>
      <c r="E13" s="5"/>
      <c r="F13" s="5"/>
      <c r="G13" s="5"/>
    </row>
    <row r="14" customFormat="false" ht="21.75" hidden="false" customHeight="true" outlineLevel="0" collapsed="false">
      <c r="B14" s="5" t="s">
        <v>306</v>
      </c>
      <c r="C14" s="5"/>
      <c r="D14" s="5"/>
      <c r="E14" s="5"/>
      <c r="F14" s="5"/>
      <c r="G14" s="5"/>
    </row>
    <row r="15" customFormat="false" ht="21.75" hidden="false" customHeight="true" outlineLevel="0" collapsed="false">
      <c r="B15" s="5" t="s">
        <v>307</v>
      </c>
      <c r="C15" s="5"/>
      <c r="D15" s="5"/>
      <c r="E15" s="5"/>
      <c r="F15" s="5"/>
      <c r="G15" s="5"/>
    </row>
    <row r="16" customFormat="false" ht="21.75" hidden="false" customHeight="true" outlineLevel="0" collapsed="false">
      <c r="B16" s="5" t="s">
        <v>308</v>
      </c>
      <c r="C16" s="5"/>
      <c r="D16" s="5"/>
      <c r="E16" s="5"/>
      <c r="F16" s="5"/>
      <c r="G16" s="5"/>
    </row>
    <row r="17" customFormat="false" ht="21.75" hidden="false" customHeight="true" outlineLevel="0" collapsed="false">
      <c r="B17" s="5" t="s">
        <v>309</v>
      </c>
      <c r="C17" s="5"/>
      <c r="D17" s="5"/>
      <c r="E17" s="5"/>
      <c r="F17" s="5"/>
      <c r="G17" s="5"/>
    </row>
    <row r="18" customFormat="false" ht="21.75" hidden="false" customHeight="true" outlineLevel="0" collapsed="false">
      <c r="B18" s="5" t="s">
        <v>310</v>
      </c>
      <c r="C18" s="5"/>
      <c r="D18" s="5"/>
      <c r="E18" s="5"/>
      <c r="F18" s="5"/>
      <c r="G18" s="5"/>
    </row>
    <row r="19" customFormat="false" ht="21.75" hidden="false" customHeight="true" outlineLevel="0" collapsed="false">
      <c r="B19" s="5" t="s">
        <v>311</v>
      </c>
      <c r="C19" s="5"/>
      <c r="D19" s="5"/>
      <c r="E19" s="5"/>
      <c r="F19" s="5"/>
      <c r="G19" s="5"/>
    </row>
    <row r="20" customFormat="false" ht="21.75" hidden="false" customHeight="true" outlineLevel="0" collapsed="false">
      <c r="B20" s="5" t="s">
        <v>312</v>
      </c>
      <c r="C20" s="5"/>
      <c r="D20" s="5"/>
      <c r="E20" s="5"/>
      <c r="F20" s="5"/>
      <c r="G20" s="5"/>
    </row>
    <row r="21" customFormat="false" ht="21.75" hidden="false" customHeight="true" outlineLevel="0" collapsed="false">
      <c r="B21" s="5" t="s">
        <v>313</v>
      </c>
      <c r="C21" s="5"/>
      <c r="D21" s="5"/>
      <c r="E21" s="5"/>
      <c r="F21" s="5"/>
      <c r="G21" s="5"/>
    </row>
    <row r="22" customFormat="false" ht="21.75" hidden="false" customHeight="true" outlineLevel="0" collapsed="false">
      <c r="B22" s="5" t="s">
        <v>314</v>
      </c>
      <c r="C22" s="5"/>
      <c r="D22" s="5"/>
      <c r="E22" s="5"/>
      <c r="F22" s="5"/>
      <c r="G22" s="5"/>
    </row>
    <row r="24" customFormat="false" ht="15" hidden="false" customHeight="false" outlineLevel="0" collapsed="false">
      <c r="B24" s="3" t="s">
        <v>315</v>
      </c>
      <c r="C24" s="3"/>
      <c r="D24" s="3"/>
      <c r="E24" s="3"/>
      <c r="F24" s="3"/>
      <c r="G24" s="3"/>
    </row>
    <row r="25" customFormat="false" ht="21.75" hidden="false" customHeight="true" outlineLevel="0" collapsed="false">
      <c r="B25" s="48" t="str">
        <f aca="false">IF('🧾 Monthly Budget'!C33&lt;0.1,"⚠️ Savings rate below 10% – automate savings on salary day before spending.","✅ Savings rate on track.")</f>
        <v>✅ Savings rate on track.</v>
      </c>
      <c r="C25" s="48"/>
      <c r="D25" s="48"/>
      <c r="E25" s="48"/>
      <c r="F25" s="48"/>
      <c r="G25" s="48"/>
    </row>
    <row r="26" customFormat="false" ht="21.75" hidden="false" customHeight="true" outlineLevel="0" collapsed="false">
      <c r="B26" s="48" t="str">
        <f aca="false">IF('💳 Debt &amp; EMIs'!C16&gt;0.4,"⚠️ High EMI load – consider prepaying highest-rate loan to free up cash flow.","✅ EMI load manageable.")</f>
        <v>✅ EMI load manageable.</v>
      </c>
      <c r="C26" s="48"/>
      <c r="D26" s="48"/>
      <c r="E26" s="48"/>
      <c r="F26" s="48"/>
      <c r="G26" s="48"/>
    </row>
    <row r="27" customFormat="false" ht="21.75" hidden="false" customHeight="true" outlineLevel="0" collapsed="false">
      <c r="B27" s="48" t="str">
        <f aca="false">IF('🛡️ Emergency Fund'!C9&lt;0.5,"🔴 Emergency Fund below 50% – prioritise this before any new investment.","✅ Emergency fund building well.")</f>
        <v>🔴 Emergency Fund below 50% – prioritise this before any new investment.</v>
      </c>
      <c r="C27" s="48"/>
      <c r="D27" s="48"/>
      <c r="E27" s="48"/>
      <c r="F27" s="48"/>
      <c r="G27" s="48"/>
    </row>
    <row r="28" customFormat="false" ht="21.75" hidden="false" customHeight="true" outlineLevel="0" collapsed="false">
      <c r="B28" s="48" t="str">
        <f aca="false">IF('🔍 Leak Finder'!C13&gt;3000,"💡 Monthly leaks ₹"&amp;TEXT('🔍 Leak Finder'!C13,"#,##0")&amp;" – invest just half of this to boost SIP significantly.","✅ Discretionary spending controlled.")</f>
        <v>💡 Monthly leaks ₹11,100 – invest just half of this to boost SIP significantly.</v>
      </c>
      <c r="C28" s="48"/>
      <c r="D28" s="48"/>
      <c r="E28" s="48"/>
      <c r="F28" s="48"/>
      <c r="G28" s="48"/>
    </row>
    <row r="30" customFormat="false" ht="15.75" hidden="false" customHeight="true" outlineLevel="0" collapsed="false">
      <c r="A30" s="13" t="s">
        <v>29</v>
      </c>
      <c r="B30" s="13"/>
      <c r="C30" s="13"/>
      <c r="D30" s="13"/>
      <c r="E30" s="13"/>
      <c r="F30" s="13"/>
      <c r="G30" s="13"/>
      <c r="H30" s="13"/>
    </row>
  </sheetData>
  <mergeCells count="37">
    <mergeCell ref="B1:G1"/>
    <mergeCell ref="B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4:G24"/>
    <mergeCell ref="B25:G25"/>
    <mergeCell ref="B26:G26"/>
    <mergeCell ref="B27:G27"/>
    <mergeCell ref="B28:G28"/>
    <mergeCell ref="A30:H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2026-04-13T07:27:06Z</dcterms:created>
  <dc:creator>openpyxl</dc:creator>
  <dc:description/>
  <dc:language>en-US</dc:language>
  <cp:lastModifiedBy/>
  <dcterms:modified xsi:type="dcterms:W3CDTF">2026-04-13T07:27:35Z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